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Sites" sheetId="2" state="visible" r:id="rId2"/>
    <sheet name="Market prices" sheetId="3" state="visible" r:id="rId3"/>
    <sheet name="Meter data" sheetId="4" state="visible" r:id="rId4"/>
    <sheet name="Invoices" sheetId="5" state="visible" r:id="rId5"/>
    <sheet name="Calc" sheetId="6" state="visible" r:id="rId6"/>
    <sheet name="Summary" sheetId="7" state="visible" r:id="rId7"/>
    <sheet name="Checks" sheetId="8" state="visible" r:id="rId8"/>
  </sheets>
  <definedNames>
    <definedName name="Tolerance">'Read me'!$C$28</definedName>
    <definedName name="HoursInYear">'Read me'!$C$29</definedName>
    <definedName name="_xlnm.Print_Titles" localSheetId="4">'Invoices'!$4:$4</definedName>
    <definedName name="_xlnm.Print_Titles" localSheetId="5">'Calc'!$4:$4</definedName>
  </definedNames>
  <calcPr calcId="124519" fullCalcOnLoad="1"/>
</workbook>
</file>

<file path=xl/styles.xml><?xml version="1.0" encoding="utf-8"?>
<styleSheet xmlns="http://schemas.openxmlformats.org/spreadsheetml/2006/main">
  <numFmts count="8">
    <numFmt numFmtId="164" formatCode="0.0%"/>
    <numFmt numFmtId="165" formatCode="#,##0.0_);(#,##0.0);&quot;-&quot;_)"/>
    <numFmt numFmtId="166" formatCode="$#,##0.00_);($#,##0.00);&quot;-&quot;_)"/>
    <numFmt numFmtId="167" formatCode="$#,##0_);($#,##0);&quot;-&quot;_)"/>
    <numFmt numFmtId="168" formatCode="0.0%_);(0.0%);&quot;-&quot;_)"/>
    <numFmt numFmtId="169" formatCode="yyyy-mm-dd"/>
    <numFmt numFmtId="170" formatCode="mmm yyyy"/>
    <numFmt numFmtId="171" formatCode="#,##0_);(#,##0);&quot;-&quot;_)"/>
  </numFmts>
  <fonts count="9">
    <font>
      <name val="Arial"/>
      <family val="2"/>
      <sz val="10"/>
    </font>
    <font>
      <name val="Arial"/>
      <b val="1"/>
      <color rgb="00000000"/>
      <sz val="11"/>
    </font>
    <font>
      <name val="Arial"/>
      <color rgb="00000000"/>
      <sz val="10"/>
    </font>
    <font>
      <name val="Arial"/>
      <b val="1"/>
      <color rgb="00000000"/>
      <sz val="10"/>
    </font>
    <font>
      <name val="Arial"/>
      <color rgb="000000FF"/>
      <sz val="10"/>
    </font>
    <font>
      <name val="Arial"/>
      <color rgb="00008000"/>
      <sz val="10"/>
    </font>
    <font>
      <name val="Arial"/>
      <color rgb="009C0006"/>
      <sz val="10"/>
    </font>
    <font>
      <name val="Arial"/>
      <i val="1"/>
      <color rgb="00595959"/>
      <sz val="10"/>
    </font>
    <font>
      <name val="Arial"/>
      <b val="1"/>
      <color rgb="00008000"/>
      <sz val="10"/>
    </font>
  </fonts>
  <fills count="4">
    <fill>
      <patternFill/>
    </fill>
    <fill>
      <patternFill patternType="gray125"/>
    </fill>
    <fill>
      <patternFill patternType="solid">
        <fgColor rgb="00FFC7CE"/>
      </patternFill>
    </fill>
    <fill>
      <patternFill patternType="solid">
        <fgColor rgb="00F2F2F2"/>
      </patternFill>
    </fill>
  </fills>
  <borders count="3">
    <border>
      <left/>
      <right/>
      <top/>
      <bottom/>
      <diagonal/>
    </border>
    <border>
      <bottom style="thin">
        <color rgb="00A6A6A6"/>
      </bottom>
    </border>
    <border>
      <top style="thin">
        <color rgb="00000000"/>
      </top>
    </border>
  </borders>
  <cellStyleXfs count="1">
    <xf numFmtId="0" fontId="0" fillId="0" borderId="0"/>
  </cellStyleXfs>
  <cellXfs count="5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0" applyAlignment="1" pivotButton="0" quotePrefix="0" xfId="0">
      <alignment horizontal="center"/>
    </xf>
    <xf numFmtId="0" fontId="7" fillId="0" borderId="0" pivotButton="0" quotePrefix="0" xfId="0"/>
    <xf numFmtId="164" fontId="4" fillId="0" borderId="0" applyAlignment="1" pivotButton="0" quotePrefix="0" xfId="0">
      <alignment horizontal="right"/>
    </xf>
    <xf numFmtId="3" fontId="4" fillId="0" borderId="0" applyAlignment="1" pivotButton="0" quotePrefix="0" xfId="0">
      <alignment horizontal="right"/>
    </xf>
    <xf numFmtId="0" fontId="3" fillId="0" borderId="1" applyAlignment="1" pivotButton="0" quotePrefix="0" xfId="0">
      <alignment horizontal="left" vertical="bottom" wrapText="1"/>
    </xf>
    <xf numFmtId="0" fontId="3" fillId="0" borderId="1" applyAlignment="1" pivotButton="0" quotePrefix="0" xfId="0">
      <alignment horizontal="right" vertical="bottom" wrapText="1"/>
    </xf>
    <xf numFmtId="165" fontId="4" fillId="0" borderId="0" pivotButton="0" quotePrefix="0" xfId="0"/>
    <xf numFmtId="166" fontId="4" fillId="0" borderId="0" pivotButton="0" quotePrefix="0" xfId="0"/>
    <xf numFmtId="167" fontId="4" fillId="0" borderId="0" pivotButton="0" quotePrefix="0" xfId="0"/>
    <xf numFmtId="168" fontId="4" fillId="0" borderId="0" pivotButton="0" quotePrefix="0" xfId="0"/>
    <xf numFmtId="170" fontId="4" fillId="0" borderId="0" applyAlignment="1" pivotButton="0" quotePrefix="0" xfId="0">
      <alignment horizontal="left"/>
    </xf>
    <xf numFmtId="171" fontId="4" fillId="0" borderId="0" pivotButton="0" quotePrefix="0" xfId="0"/>
    <xf numFmtId="0" fontId="2" fillId="0" borderId="1" pivotButton="0" quotePrefix="0" xfId="0"/>
    <xf numFmtId="0" fontId="8" fillId="0" borderId="1" applyAlignment="1" pivotButton="0" quotePrefix="0" xfId="0">
      <alignment horizontal="right"/>
    </xf>
    <xf numFmtId="0" fontId="3" fillId="3" borderId="0" pivotButton="0" quotePrefix="0" xfId="0"/>
    <xf numFmtId="0" fontId="0" fillId="3" borderId="0" pivotButton="0" quotePrefix="0" xfId="0"/>
    <xf numFmtId="0" fontId="5" fillId="0" borderId="0" applyAlignment="1" pivotButton="0" quotePrefix="0" xfId="0">
      <alignment horizontal="right"/>
    </xf>
    <xf numFmtId="165" fontId="5" fillId="0" borderId="0" applyAlignment="1" pivotButton="0" quotePrefix="0" xfId="0">
      <alignment horizontal="right"/>
    </xf>
    <xf numFmtId="165" fontId="2" fillId="0" borderId="0" pivotButton="0" quotePrefix="0" xfId="0"/>
    <xf numFmtId="166" fontId="5" fillId="0" borderId="0" applyAlignment="1" pivotButton="0" quotePrefix="0" xfId="0">
      <alignment horizontal="right"/>
    </xf>
    <xf numFmtId="167" fontId="5" fillId="0" borderId="0" applyAlignment="1" pivotButton="0" quotePrefix="0" xfId="0">
      <alignment horizontal="right"/>
    </xf>
    <xf numFmtId="167" fontId="2" fillId="0" borderId="0" pivotButton="0" quotePrefix="0" xfId="0"/>
    <xf numFmtId="168" fontId="5" fillId="0" borderId="0" applyAlignment="1" pivotButton="0" quotePrefix="0" xfId="0">
      <alignment horizontal="right"/>
    </xf>
    <xf numFmtId="171" fontId="2" fillId="0" borderId="0" pivotButton="0" quotePrefix="0" xfId="0"/>
    <xf numFmtId="170" fontId="5" fillId="0" borderId="0" applyAlignment="1" pivotButton="0" quotePrefix="0" xfId="0">
      <alignment horizontal="left"/>
    </xf>
    <xf numFmtId="171" fontId="5" fillId="0" borderId="0" pivotButton="0" quotePrefix="0" xfId="0"/>
    <xf numFmtId="0" fontId="3" fillId="0" borderId="2" pivotButton="0" quotePrefix="0" xfId="0"/>
    <xf numFmtId="171" fontId="3" fillId="0" borderId="2" pivotButton="0" quotePrefix="0" xfId="0"/>
    <xf numFmtId="166" fontId="5" fillId="0" borderId="0" pivotButton="0" quotePrefix="0" xfId="0"/>
    <xf numFmtId="166" fontId="2" fillId="0" borderId="0" pivotButton="0" quotePrefix="0" xfId="0"/>
    <xf numFmtId="167" fontId="3" fillId="0" borderId="2" pivotButton="0" quotePrefix="0" xfId="0"/>
    <xf numFmtId="167" fontId="5" fillId="0" borderId="0" pivotButton="0" quotePrefix="0" xfId="0"/>
    <xf numFmtId="168" fontId="2" fillId="0" borderId="0" pivotButton="0" quotePrefix="0" xfId="0"/>
    <xf numFmtId="168" fontId="3" fillId="0" borderId="2" pivotButton="0" quotePrefix="0" xfId="0"/>
    <xf numFmtId="0" fontId="2" fillId="0" borderId="0" applyAlignment="1" pivotButton="0" quotePrefix="0" xfId="0">
      <alignment horizontal="center"/>
    </xf>
    <xf numFmtId="0" fontId="5" fillId="0" borderId="0" applyAlignment="1" pivotButton="0" quotePrefix="0" xfId="0">
      <alignment horizontal="left"/>
    </xf>
    <xf numFmtId="165" fontId="5" fillId="0" borderId="0" pivotButton="0" quotePrefix="0" xfId="0"/>
    <xf numFmtId="165" fontId="8" fillId="0" borderId="2" pivotButton="0" quotePrefix="0" xfId="0"/>
    <xf numFmtId="171" fontId="8" fillId="0" borderId="2" pivotButton="0" quotePrefix="0" xfId="0"/>
    <xf numFmtId="165" fontId="3" fillId="0" borderId="2" pivotButton="0" quotePrefix="0" xfId="0"/>
    <xf numFmtId="167" fontId="8" fillId="0" borderId="2" pivotButton="0" quotePrefix="0" xfId="0"/>
    <xf numFmtId="166" fontId="3" fillId="0" borderId="2" pivotButton="0" quotePrefix="0" xfId="0"/>
    <xf numFmtId="0" fontId="3" fillId="0" borderId="1" applyAlignment="1" pivotButton="0" quotePrefix="0" xfId="0">
      <alignment horizontal="center" vertical="bottom" wrapText="1"/>
    </xf>
    <xf numFmtId="0" fontId="3" fillId="0" borderId="0" applyAlignment="1" pivotButton="0" quotePrefix="0" xfId="0">
      <alignment horizontal="center"/>
    </xf>
  </cellXfs>
  <cellStyles count="1">
    <cellStyle name="Normal" xfId="0" builtinId="0" hidden="0"/>
  </cellStyles>
  <dxfs count="3">
    <dxf>
      <fill>
        <patternFill patternType="solid">
          <fgColor rgb="00E7E6E6"/>
        </patternFill>
      </fill>
    </dxf>
    <dxf>
      <font>
        <color rgb="009C0006"/>
      </font>
      <fill>
        <patternFill patternType="solid">
          <fgColor rgb="00FFC7CE"/>
        </patternFill>
      </fill>
    </dxf>
    <dxf>
      <font>
        <color rgb="00006100"/>
      </font>
      <fill>
        <patternFill patternType="solid">
          <f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D29"/>
  <sheetViews>
    <sheetView showGridLines="0" tabSelected="1" zoomScale="100" workbookViewId="0">
      <selection activeCell="B1" sqref="B1"/>
    </sheetView>
  </sheetViews>
  <sheetFormatPr baseColWidth="8" defaultRowHeight="15"/>
  <cols>
    <col width="2" customWidth="1" min="1" max="1"/>
    <col width="24" customWidth="1" min="2" max="2"/>
    <col width="12" customWidth="1" min="3" max="3"/>
    <col width="80" customWidth="1" min="4" max="4"/>
  </cols>
  <sheetData>
    <row r="1">
      <c r="B1" s="1" t="inlineStr">
        <is>
          <t>Power cost model (sample)</t>
        </is>
      </c>
    </row>
    <row r="2">
      <c r="B2" s="2" t="inlineStr">
        <is>
          <t>Jack Raney · October 2026</t>
        </is>
      </c>
    </row>
    <row r="4">
      <c r="B4" s="2" t="inlineStr">
        <is>
          <t>Built from scratch with made-up numbers to show how a model like this is put together. None of this is real company data.</t>
        </is>
      </c>
    </row>
    <row r="6">
      <c r="B6" s="3" t="inlineStr">
        <is>
          <t>What it does</t>
        </is>
      </c>
    </row>
    <row r="7">
      <c r="B7" s="2" t="inlineStr">
        <is>
          <t>Works out what power should cost at six bitcoin mining sites from their contract terms and meter readings.</t>
        </is>
      </c>
    </row>
    <row r="8">
      <c r="B8" s="2" t="inlineStr">
        <is>
          <t>Then checks each monthly utility bill against the meters and that expected cost, and flags the months that need a look.</t>
        </is>
      </c>
    </row>
    <row r="10">
      <c r="B10" s="3" t="inlineStr">
        <is>
          <t>How to read it</t>
        </is>
      </c>
    </row>
    <row r="11">
      <c r="B11" s="4" t="inlineStr">
        <is>
          <t>Blue text</t>
        </is>
      </c>
      <c r="C11" s="2" t="inlineStr">
        <is>
          <t>Inputs you can change.</t>
        </is>
      </c>
    </row>
    <row r="12">
      <c r="B12" s="2" t="inlineStr">
        <is>
          <t>Black text</t>
        </is>
      </c>
      <c r="C12" s="2" t="inlineStr">
        <is>
          <t>Formulas.</t>
        </is>
      </c>
    </row>
    <row r="13">
      <c r="B13" s="5" t="inlineStr">
        <is>
          <t>Green text</t>
        </is>
      </c>
      <c r="C13" s="2" t="inlineStr">
        <is>
          <t>Numbers pulled from another tab.</t>
        </is>
      </c>
    </row>
    <row r="14">
      <c r="B14" s="6" t="inlineStr">
        <is>
          <t>Check</t>
        </is>
      </c>
      <c r="C14" s="2" t="inlineStr">
        <is>
          <t>A flagged month: the bill and the meters, or the bill and the expected cost, are further apart than the tolerance below.</t>
        </is>
      </c>
    </row>
    <row r="16">
      <c r="B16" s="3" t="inlineStr">
        <is>
          <t>Tabs</t>
        </is>
      </c>
    </row>
    <row r="17">
      <c r="B17" s="2" t="inlineStr">
        <is>
          <t>Read me</t>
        </is>
      </c>
      <c r="C17" s="2" t="inlineStr">
        <is>
          <t>This page: notes, color key and settings.</t>
        </is>
      </c>
    </row>
    <row r="18">
      <c r="B18" s="2" t="inlineStr">
        <is>
          <t>Sites</t>
        </is>
      </c>
      <c r="C18" s="2" t="inlineStr">
        <is>
          <t>Contract terms for each site: market, capacity, energy price, delivery charge, fixed charges and budgeted uptime.</t>
        </is>
      </c>
    </row>
    <row r="19">
      <c r="B19" s="2" t="inlineStr">
        <is>
          <t>Market prices</t>
        </is>
      </c>
      <c r="C19" s="2" t="inlineStr">
        <is>
          <t>Monthly average index price for each ERCOT market, in $/MWh.</t>
        </is>
      </c>
    </row>
    <row r="20">
      <c r="B20" s="2" t="inlineStr">
        <is>
          <t>Meter data</t>
        </is>
      </c>
      <c r="C20" s="2" t="inlineStr">
        <is>
          <t>Energy each site used each month, from its meters, in MWh.</t>
        </is>
      </c>
    </row>
    <row r="21">
      <c r="B21" s="2" t="inlineStr">
        <is>
          <t>Invoices</t>
        </is>
      </c>
      <c r="C21" s="2" t="inlineStr">
        <is>
          <t>What the utility billed each site each month, in MWh and dollars.</t>
        </is>
      </c>
    </row>
    <row r="22">
      <c r="B22" s="2" t="inlineStr">
        <is>
          <t>Calc</t>
        </is>
      </c>
      <c r="C22" s="2" t="inlineStr">
        <is>
          <t>Formulas only. Expected cost from contract terms, invoice versus meter variances, and flags.</t>
        </is>
      </c>
    </row>
    <row r="23">
      <c r="B23" s="2" t="inlineStr">
        <is>
          <t>Summary</t>
        </is>
      </c>
      <c r="C23" s="2" t="inlineStr">
        <is>
          <t>Full-year results by site and by month, for a quick read.</t>
        </is>
      </c>
    </row>
    <row r="24">
      <c r="B24" s="2" t="inlineStr">
        <is>
          <t>Checks</t>
        </is>
      </c>
      <c r="C24" s="2" t="inlineStr">
        <is>
          <t>Tests that confirm the model adds up. Every line should read TRUE.</t>
        </is>
      </c>
    </row>
    <row r="25">
      <c r="C25" s="7" t="inlineStr">
        <is>
          <t>The four input tabs feed Calc. Summary pulls only from Calc. Checks tests all of it.</t>
        </is>
      </c>
    </row>
    <row r="27">
      <c r="B27" s="3" t="inlineStr">
        <is>
          <t>Settings</t>
        </is>
      </c>
    </row>
    <row r="28">
      <c r="B28" s="2" t="inlineStr">
        <is>
          <t>Variance tolerance (%)</t>
        </is>
      </c>
      <c r="C28" s="8" t="n">
        <v>0.02</v>
      </c>
      <c r="D28" s="7" t="inlineStr">
        <is>
          <t>A month is flagged when its MWh or dollar variance is bigger than this, up or down.</t>
        </is>
      </c>
    </row>
    <row r="29">
      <c r="B29" s="2" t="inlineStr">
        <is>
          <t>Hours in the year (h)</t>
        </is>
      </c>
      <c r="C29" s="9" t="n">
        <v>8760</v>
      </c>
      <c r="D29" s="7" t="inlineStr">
        <is>
          <t>2025 is not a leap year. Used for average load and budgeted energy.</t>
        </is>
      </c>
    </row>
  </sheetData>
  <dataValidations count="2">
    <dataValidation sqref="C28" showDropDown="0" showInputMessage="1" showErrorMessage="1" allowBlank="0" errorTitle="Variance tolerance" error="Enter a percent between 0% and 50%, such as 2%." promptTitle="Variance tolerance" prompt="Enter a percent, such as 2%." type="decimal" operator="between">
      <formula1>0</formula1>
      <formula2>0.5</formula2>
    </dataValidation>
    <dataValidation sqref="C29" showDropDown="0" showInputMessage="0" showErrorMessage="1" allowBlank="0" errorTitle="Hours in the year" error="Enter 8,760, or 8,784 for a leap year." type="whole" operator="between">
      <formula1>8760</formula1>
      <formula2>8784</formula2>
    </dataValidation>
  </dataValidations>
  <pageMargins left="0.75" right="0.75" top="1" bottom="1" header="0.5" footer="0.5"/>
  <pageSetup orientation="landscape" fitToHeight="0" fitToWidth="1"/>
  <headerFooter>
    <oddHeader/>
    <oddFooter>&amp;L&amp;"Arial,Regular"&amp;10 Power cost model (sample). Made-up numbers.&amp;R&amp;"Arial,Regular"&amp;10 &amp;A,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B1:J14"/>
  <sheetViews>
    <sheetView tabSelected="0" zoomScale="100" workbookViewId="0">
      <pane xSplit="2" ySplit="4" topLeftCell="C5" activePane="bottomRight" state="frozen"/>
      <selection pane="topRight"/>
      <selection pane="bottomLeft"/>
      <selection pane="bottomRight" activeCell="C5" sqref="C5"/>
    </sheetView>
  </sheetViews>
  <sheetFormatPr baseColWidth="8" defaultRowHeight="15"/>
  <cols>
    <col width="2" customWidth="1" min="1" max="1"/>
    <col width="9" customWidth="1" min="2" max="2"/>
    <col width="15" customWidth="1" min="3" max="3"/>
    <col width="12" customWidth="1" min="4" max="4"/>
    <col width="10" customWidth="1" min="5" max="5"/>
    <col width="12" customWidth="1" min="6" max="6"/>
    <col width="11" customWidth="1" min="7" max="7"/>
    <col width="11" customWidth="1" min="8" max="8"/>
    <col width="13" customWidth="1" min="9" max="9"/>
    <col width="11" customWidth="1" min="10" max="10"/>
  </cols>
  <sheetData>
    <row r="1">
      <c r="B1" s="1" t="inlineStr">
        <is>
          <t>Sites</t>
        </is>
      </c>
    </row>
    <row r="2">
      <c r="B2" s="7" t="inlineStr">
        <is>
          <t>Contract terms for each site. Inputs, made-up numbers.</t>
        </is>
      </c>
    </row>
    <row r="4" ht="40" customHeight="1">
      <c r="B4" s="10" t="inlineStr">
        <is>
          <t>Site</t>
        </is>
      </c>
      <c r="C4" s="10" t="inlineStr">
        <is>
          <t>Market</t>
        </is>
      </c>
      <c r="D4" s="11" t="inlineStr">
        <is>
          <t>Contracted capacity (MW)</t>
        </is>
      </c>
      <c r="E4" s="10" t="inlineStr">
        <is>
          <t>Energy contract</t>
        </is>
      </c>
      <c r="F4" s="11" t="inlineStr">
        <is>
          <t>Fixed energy price ($/MWh)</t>
        </is>
      </c>
      <c r="G4" s="11" t="inlineStr">
        <is>
          <t>Index adder ($/MWh)</t>
        </is>
      </c>
      <c r="H4" s="11" t="inlineStr">
        <is>
          <t>Delivery charge ($/MWh)</t>
        </is>
      </c>
      <c r="I4" s="11" t="inlineStr">
        <is>
          <t>Fixed monthly charges ($)</t>
        </is>
      </c>
      <c r="J4" s="11" t="inlineStr">
        <is>
          <t>Budgeted uptime (%)</t>
        </is>
      </c>
    </row>
    <row r="5">
      <c r="B5" s="2" t="inlineStr">
        <is>
          <t>Site A</t>
        </is>
      </c>
      <c r="C5" s="4" t="inlineStr">
        <is>
          <t>ERCOT West</t>
        </is>
      </c>
      <c r="D5" s="12" t="n">
        <v>120</v>
      </c>
      <c r="E5" s="4" t="inlineStr">
        <is>
          <t>Fixed</t>
        </is>
      </c>
      <c r="F5" s="13" t="n">
        <v>36.4</v>
      </c>
      <c r="G5" s="13" t="n"/>
      <c r="H5" s="13" t="n">
        <v>7.85</v>
      </c>
      <c r="I5" s="14" t="n">
        <v>36500</v>
      </c>
      <c r="J5" s="15" t="n">
        <v>0.95</v>
      </c>
    </row>
    <row r="6">
      <c r="B6" s="2" t="inlineStr">
        <is>
          <t>Site B</t>
        </is>
      </c>
      <c r="C6" s="4" t="inlineStr">
        <is>
          <t>ERCOT West</t>
        </is>
      </c>
      <c r="D6" s="12" t="n">
        <v>75</v>
      </c>
      <c r="E6" s="4" t="inlineStr">
        <is>
          <t>Index</t>
        </is>
      </c>
      <c r="F6" s="13" t="n"/>
      <c r="G6" s="13" t="n">
        <v>2.75</v>
      </c>
      <c r="H6" s="13" t="n">
        <v>9.1</v>
      </c>
      <c r="I6" s="14" t="n">
        <v>19800</v>
      </c>
      <c r="J6" s="15" t="n">
        <v>0.93</v>
      </c>
    </row>
    <row r="7">
      <c r="B7" s="2" t="inlineStr">
        <is>
          <t>Site C</t>
        </is>
      </c>
      <c r="C7" s="4" t="inlineStr">
        <is>
          <t>ERCOT North</t>
        </is>
      </c>
      <c r="D7" s="12" t="n">
        <v>48</v>
      </c>
      <c r="E7" s="4" t="inlineStr">
        <is>
          <t>Fixed</t>
        </is>
      </c>
      <c r="F7" s="13" t="n">
        <v>41.75</v>
      </c>
      <c r="G7" s="13" t="n"/>
      <c r="H7" s="13" t="n">
        <v>10.6</v>
      </c>
      <c r="I7" s="14" t="n">
        <v>14250</v>
      </c>
      <c r="J7" s="15" t="n">
        <v>0.96</v>
      </c>
    </row>
    <row r="8">
      <c r="B8" s="2" t="inlineStr">
        <is>
          <t>Site D</t>
        </is>
      </c>
      <c r="C8" s="4" t="inlineStr">
        <is>
          <t>ERCOT South</t>
        </is>
      </c>
      <c r="D8" s="12" t="n">
        <v>90</v>
      </c>
      <c r="E8" s="4" t="inlineStr">
        <is>
          <t>Index</t>
        </is>
      </c>
      <c r="F8" s="13" t="n"/>
      <c r="G8" s="13" t="n">
        <v>3.4</v>
      </c>
      <c r="H8" s="13" t="n">
        <v>8.300000000000001</v>
      </c>
      <c r="I8" s="14" t="n">
        <v>27600</v>
      </c>
      <c r="J8" s="15" t="n">
        <v>0.9399999999999999</v>
      </c>
    </row>
    <row r="9">
      <c r="B9" s="2" t="inlineStr">
        <is>
          <t>Site E</t>
        </is>
      </c>
      <c r="C9" s="4" t="inlineStr">
        <is>
          <t>ERCOT Houston</t>
        </is>
      </c>
      <c r="D9" s="12" t="n">
        <v>22.5</v>
      </c>
      <c r="E9" s="4" t="inlineStr">
        <is>
          <t>Fixed</t>
        </is>
      </c>
      <c r="F9" s="13" t="n">
        <v>43.9</v>
      </c>
      <c r="G9" s="13" t="n"/>
      <c r="H9" s="13" t="n">
        <v>11.4</v>
      </c>
      <c r="I9" s="14" t="n">
        <v>8900</v>
      </c>
      <c r="J9" s="15" t="n">
        <v>0.97</v>
      </c>
    </row>
    <row r="10">
      <c r="B10" s="2" t="inlineStr">
        <is>
          <t>Site F</t>
        </is>
      </c>
      <c r="C10" s="4" t="inlineStr">
        <is>
          <t>ERCOT North</t>
        </is>
      </c>
      <c r="D10" s="12" t="n">
        <v>97</v>
      </c>
      <c r="E10" s="4" t="inlineStr">
        <is>
          <t>Index</t>
        </is>
      </c>
      <c r="F10" s="13" t="n"/>
      <c r="G10" s="13" t="n">
        <v>2.25</v>
      </c>
      <c r="H10" s="13" t="n">
        <v>6.75</v>
      </c>
      <c r="I10" s="14" t="n">
        <v>31200</v>
      </c>
      <c r="J10" s="15" t="n">
        <v>0.92</v>
      </c>
    </row>
    <row r="12">
      <c r="B12" s="7" t="inlineStr">
        <is>
          <t>Fixed sites pay the fixed energy price. Index sites pay the market index price for the month plus the adder.</t>
        </is>
      </c>
    </row>
    <row r="13">
      <c r="B13" s="7" t="inlineStr">
        <is>
          <t>Every site also pays the delivery charge on each MWh, plus its fixed monthly charges.</t>
        </is>
      </c>
    </row>
    <row r="14">
      <c r="B14" s="7" t="inlineStr">
        <is>
          <t>Gray cells do not apply to that site's contract and stay blank.</t>
        </is>
      </c>
    </row>
  </sheetData>
  <conditionalFormatting sqref="F5:F10">
    <cfRule type="expression" priority="1" dxfId="0">
      <formula>$E5&lt;&gt;"Fixed"</formula>
    </cfRule>
  </conditionalFormatting>
  <conditionalFormatting sqref="G5:G10">
    <cfRule type="expression" priority="2" dxfId="0">
      <formula>$E5&lt;&gt;"Index"</formula>
    </cfRule>
  </conditionalFormatting>
  <dataValidations count="3">
    <dataValidation sqref="C5:C10" showDropDown="0" showInputMessage="0" showErrorMessage="1" allowBlank="0" errorTitle="Market" error="Pick a market from the list." type="list">
      <formula1>'Market prices'!$C$4:$F$4</formula1>
    </dataValidation>
    <dataValidation sqref="E5:E10" showDropDown="0" showInputMessage="0" showErrorMessage="1" allowBlank="0" errorTitle="Energy contract" error="Pick Fixed or Index." type="list">
      <formula1>"Fixed,Index"</formula1>
    </dataValidation>
    <dataValidation sqref="J5:J10" showDropDown="0" showInputMessage="0" showErrorMessage="1" allowBlank="0" errorTitle="Budgeted uptime" error="Enter a percent between 0% and 100%." type="decimal" operator="between">
      <formula1>0</formula1>
      <formula2>1</formula2>
    </dataValidation>
  </dataValidations>
  <pageMargins left="0.75" right="0.75" top="1" bottom="1" header="0.5" footer="0.5"/>
  <pageSetup orientation="landscape" fitToHeight="0" fitToWidth="1"/>
  <headerFooter>
    <oddHeader/>
    <oddFooter>&amp;L&amp;"Arial,Regular"&amp;10 Power cost model (sample). Made-up numbers.&amp;R&amp;"Arial,Regular"&amp;10 &amp;A,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B1:F17"/>
  <sheetViews>
    <sheetView tabSelected="0" zoomScale="100" workbookViewId="0">
      <pane xSplit="2" ySplit="4" topLeftCell="C5" activePane="bottomRight" state="frozen"/>
      <selection pane="topRight"/>
      <selection pane="bottomLeft"/>
      <selection pane="bottomRight" activeCell="C6" sqref="C6"/>
    </sheetView>
  </sheetViews>
  <sheetFormatPr baseColWidth="8" defaultRowHeight="15"/>
  <cols>
    <col width="2" customWidth="1" min="1" max="1"/>
    <col width="11" customWidth="1" min="2" max="2"/>
    <col width="14" customWidth="1" min="3" max="3"/>
    <col width="14" customWidth="1" min="4" max="4"/>
    <col width="14" customWidth="1" min="5" max="5"/>
    <col width="14" customWidth="1" min="6" max="6"/>
  </cols>
  <sheetData>
    <row r="1">
      <c r="B1" s="1" t="inlineStr">
        <is>
          <t>Market prices</t>
        </is>
      </c>
    </row>
    <row r="2">
      <c r="B2" s="7" t="inlineStr">
        <is>
          <t>Monthly average index price by ERCOT market. Inputs, made-up numbers shaped like Texas: a summer peak and a February cold snap.</t>
        </is>
      </c>
    </row>
    <row r="4">
      <c r="B4" s="10" t="inlineStr">
        <is>
          <t>Month</t>
        </is>
      </c>
      <c r="C4" s="11" t="inlineStr">
        <is>
          <t>ERCOT West</t>
        </is>
      </c>
      <c r="D4" s="11" t="inlineStr">
        <is>
          <t>ERCOT North</t>
        </is>
      </c>
      <c r="E4" s="11" t="inlineStr">
        <is>
          <t>ERCOT South</t>
        </is>
      </c>
      <c r="F4" s="11" t="inlineStr">
        <is>
          <t>ERCOT Houston</t>
        </is>
      </c>
    </row>
    <row r="5">
      <c r="B5" s="3" t="inlineStr">
        <is>
          <t>Index price ($/MWh)</t>
        </is>
      </c>
    </row>
    <row r="6">
      <c r="B6" s="16" t="n">
        <v>45658</v>
      </c>
      <c r="C6" s="13" t="n">
        <v>28.4</v>
      </c>
      <c r="D6" s="13" t="n">
        <v>30.15</v>
      </c>
      <c r="E6" s="13" t="n">
        <v>31.05</v>
      </c>
      <c r="F6" s="13" t="n">
        <v>32.2</v>
      </c>
    </row>
    <row r="7">
      <c r="B7" s="16" t="n">
        <v>45689</v>
      </c>
      <c r="C7" s="13" t="n">
        <v>47.6</v>
      </c>
      <c r="D7" s="13" t="n">
        <v>54.25</v>
      </c>
      <c r="E7" s="13" t="n">
        <v>56.8</v>
      </c>
      <c r="F7" s="13" t="n">
        <v>58.9</v>
      </c>
    </row>
    <row r="8">
      <c r="B8" s="16" t="n">
        <v>45717</v>
      </c>
      <c r="C8" s="13" t="n">
        <v>24.35</v>
      </c>
      <c r="D8" s="13" t="n">
        <v>25.9</v>
      </c>
      <c r="E8" s="13" t="n">
        <v>26.7</v>
      </c>
      <c r="F8" s="13" t="n">
        <v>27.45</v>
      </c>
    </row>
    <row r="9">
      <c r="B9" s="16" t="n">
        <v>45748</v>
      </c>
      <c r="C9" s="13" t="n">
        <v>22.1</v>
      </c>
      <c r="D9" s="13" t="n">
        <v>23.6</v>
      </c>
      <c r="E9" s="13" t="n">
        <v>24.85</v>
      </c>
      <c r="F9" s="13" t="n">
        <v>25.3</v>
      </c>
    </row>
    <row r="10">
      <c r="B10" s="16" t="n">
        <v>45778</v>
      </c>
      <c r="C10" s="13" t="n">
        <v>26.75</v>
      </c>
      <c r="D10" s="13" t="n">
        <v>28.4</v>
      </c>
      <c r="E10" s="13" t="n">
        <v>30.2</v>
      </c>
      <c r="F10" s="13" t="n">
        <v>31.15</v>
      </c>
    </row>
    <row r="11">
      <c r="B11" s="16" t="n">
        <v>45809</v>
      </c>
      <c r="C11" s="13" t="n">
        <v>33.8</v>
      </c>
      <c r="D11" s="13" t="n">
        <v>36.25</v>
      </c>
      <c r="E11" s="13" t="n">
        <v>38.1</v>
      </c>
      <c r="F11" s="13" t="n">
        <v>39.4</v>
      </c>
    </row>
    <row r="12">
      <c r="B12" s="16" t="n">
        <v>45839</v>
      </c>
      <c r="C12" s="13" t="n">
        <v>48.9</v>
      </c>
      <c r="D12" s="13" t="n">
        <v>54.7</v>
      </c>
      <c r="E12" s="13" t="n">
        <v>57.35</v>
      </c>
      <c r="F12" s="13" t="n">
        <v>60.2</v>
      </c>
    </row>
    <row r="13">
      <c r="B13" s="16" t="n">
        <v>45870</v>
      </c>
      <c r="C13" s="13" t="n">
        <v>52.4</v>
      </c>
      <c r="D13" s="13" t="n">
        <v>58.85</v>
      </c>
      <c r="E13" s="13" t="n">
        <v>61.9</v>
      </c>
      <c r="F13" s="13" t="n">
        <v>64.3</v>
      </c>
    </row>
    <row r="14">
      <c r="B14" s="16" t="n">
        <v>45901</v>
      </c>
      <c r="C14" s="13" t="n">
        <v>36.15</v>
      </c>
      <c r="D14" s="13" t="n">
        <v>38.2</v>
      </c>
      <c r="E14" s="13" t="n">
        <v>39.05</v>
      </c>
      <c r="F14" s="13" t="n">
        <v>39.85</v>
      </c>
    </row>
    <row r="15">
      <c r="B15" s="16" t="n">
        <v>45931</v>
      </c>
      <c r="C15" s="13" t="n">
        <v>27.3</v>
      </c>
      <c r="D15" s="13" t="n">
        <v>29.45</v>
      </c>
      <c r="E15" s="13" t="n">
        <v>30.6</v>
      </c>
      <c r="F15" s="13" t="n">
        <v>31.8</v>
      </c>
    </row>
    <row r="16">
      <c r="B16" s="16" t="n">
        <v>45962</v>
      </c>
      <c r="C16" s="13" t="n">
        <v>24.9</v>
      </c>
      <c r="D16" s="13" t="n">
        <v>26.7</v>
      </c>
      <c r="E16" s="13" t="n">
        <v>27.95</v>
      </c>
      <c r="F16" s="13" t="n">
        <v>28.65</v>
      </c>
    </row>
    <row r="17">
      <c r="B17" s="16" t="n">
        <v>45992</v>
      </c>
      <c r="C17" s="13" t="n">
        <v>29.85</v>
      </c>
      <c r="D17" s="13" t="n">
        <v>31.4</v>
      </c>
      <c r="E17" s="13" t="n">
        <v>32.75</v>
      </c>
      <c r="F17" s="13" t="n">
        <v>33.9</v>
      </c>
    </row>
  </sheetData>
  <pageMargins left="0.75" right="0.75" top="1" bottom="1" header="0.5" footer="0.5"/>
  <pageSetup orientation="landscape" fitToHeight="0" fitToWidth="1"/>
  <headerFooter>
    <oddHeader/>
    <oddFooter>&amp;L&amp;"Arial,Regular"&amp;10 Power cost model (sample). Made-up numbers.&amp;R&amp;"Arial,Regular"&amp;10 &amp;A,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B1:H17"/>
  <sheetViews>
    <sheetView tabSelected="0" zoomScale="100" workbookViewId="0">
      <pane xSplit="2" ySplit="4" topLeftCell="C5" activePane="bottomRight" state="frozen"/>
      <selection pane="topRight"/>
      <selection pane="bottomLeft"/>
      <selection pane="bottomRight" activeCell="C6" sqref="C6"/>
    </sheetView>
  </sheetViews>
  <sheetFormatPr baseColWidth="8" defaultRowHeight="15"/>
  <cols>
    <col width="2" customWidth="1" min="1" max="1"/>
    <col width="11" customWidth="1" min="2" max="2"/>
    <col width="12" customWidth="1" min="3" max="3"/>
    <col width="12" customWidth="1" min="4" max="4"/>
    <col width="12" customWidth="1" min="5" max="5"/>
    <col width="12" customWidth="1" min="6" max="6"/>
    <col width="12" customWidth="1" min="7" max="7"/>
    <col width="12" customWidth="1" min="8" max="8"/>
  </cols>
  <sheetData>
    <row r="1">
      <c r="B1" s="1" t="inlineStr">
        <is>
          <t>Meter data</t>
        </is>
      </c>
    </row>
    <row r="2">
      <c r="B2" s="7" t="inlineStr">
        <is>
          <t>Energy each site used, by month, from its meters. Inputs, made-up numbers. Uptime dips in summer, when sites power down during price spikes.</t>
        </is>
      </c>
    </row>
    <row r="4">
      <c r="B4" s="10" t="inlineStr">
        <is>
          <t>Month</t>
        </is>
      </c>
      <c r="C4" s="11" t="inlineStr">
        <is>
          <t>Site A</t>
        </is>
      </c>
      <c r="D4" s="11" t="inlineStr">
        <is>
          <t>Site B</t>
        </is>
      </c>
      <c r="E4" s="11" t="inlineStr">
        <is>
          <t>Site C</t>
        </is>
      </c>
      <c r="F4" s="11" t="inlineStr">
        <is>
          <t>Site D</t>
        </is>
      </c>
      <c r="G4" s="11" t="inlineStr">
        <is>
          <t>Site E</t>
        </is>
      </c>
      <c r="H4" s="11" t="inlineStr">
        <is>
          <t>Site F</t>
        </is>
      </c>
    </row>
    <row r="5">
      <c r="B5" s="3" t="inlineStr">
        <is>
          <t>Metered energy (MWh)</t>
        </is>
      </c>
    </row>
    <row r="6">
      <c r="B6" s="16" t="n">
        <v>45658</v>
      </c>
      <c r="C6" s="17" t="n">
        <v>84740</v>
      </c>
      <c r="D6" s="17" t="n">
        <v>51912</v>
      </c>
      <c r="E6" s="17" t="n">
        <v>34149</v>
      </c>
      <c r="F6" s="17" t="n">
        <v>61991</v>
      </c>
      <c r="G6" s="17" t="n">
        <v>16262</v>
      </c>
      <c r="H6" s="17" t="n">
        <v>65754</v>
      </c>
    </row>
    <row r="7">
      <c r="B7" s="16" t="n">
        <v>45689</v>
      </c>
      <c r="C7" s="17" t="n">
        <v>73779</v>
      </c>
      <c r="D7" s="17" t="n">
        <v>44060</v>
      </c>
      <c r="E7" s="17" t="n">
        <v>30106</v>
      </c>
      <c r="F7" s="17" t="n">
        <v>53154</v>
      </c>
      <c r="G7" s="17" t="n">
        <v>14065</v>
      </c>
      <c r="H7" s="17" t="n">
        <v>55526</v>
      </c>
    </row>
    <row r="8">
      <c r="B8" s="16" t="n">
        <v>45717</v>
      </c>
      <c r="C8" s="17" t="n">
        <v>86575</v>
      </c>
      <c r="D8" s="17" t="n">
        <v>52287</v>
      </c>
      <c r="E8" s="17" t="n">
        <v>35029</v>
      </c>
      <c r="F8" s="17" t="n">
        <v>63585</v>
      </c>
      <c r="G8" s="17" t="n">
        <v>16443</v>
      </c>
      <c r="H8" s="17" t="n">
        <v>66563</v>
      </c>
    </row>
    <row r="9">
      <c r="B9" s="16" t="n">
        <v>45748</v>
      </c>
      <c r="C9" s="17" t="n">
        <v>83002</v>
      </c>
      <c r="D9" s="17" t="n">
        <v>51445</v>
      </c>
      <c r="E9" s="17" t="n">
        <v>33582</v>
      </c>
      <c r="F9" s="17" t="n">
        <v>61648</v>
      </c>
      <c r="G9" s="17" t="n">
        <v>15957</v>
      </c>
      <c r="H9" s="17" t="n">
        <v>64726</v>
      </c>
    </row>
    <row r="10">
      <c r="B10" s="16" t="n">
        <v>45778</v>
      </c>
      <c r="C10" s="17" t="n">
        <v>85767</v>
      </c>
      <c r="D10" s="17" t="n">
        <v>52187</v>
      </c>
      <c r="E10" s="17" t="n">
        <v>34660</v>
      </c>
      <c r="F10" s="17" t="n">
        <v>63965</v>
      </c>
      <c r="G10" s="17" t="n">
        <v>16397</v>
      </c>
      <c r="H10" s="17" t="n">
        <v>66365</v>
      </c>
    </row>
    <row r="11">
      <c r="B11" s="16" t="n">
        <v>45809</v>
      </c>
      <c r="C11" s="17" t="n">
        <v>80610</v>
      </c>
      <c r="D11" s="17" t="n">
        <v>49353</v>
      </c>
      <c r="E11" s="17" t="n">
        <v>32619</v>
      </c>
      <c r="F11" s="17" t="n">
        <v>59659</v>
      </c>
      <c r="G11" s="17" t="n">
        <v>15675</v>
      </c>
      <c r="H11" s="17" t="n">
        <v>62600</v>
      </c>
    </row>
    <row r="12">
      <c r="B12" s="16" t="n">
        <v>45839</v>
      </c>
      <c r="C12" s="17" t="n">
        <v>80426</v>
      </c>
      <c r="D12" s="17" t="n">
        <v>46923</v>
      </c>
      <c r="E12" s="17" t="n">
        <v>33043</v>
      </c>
      <c r="F12" s="17" t="n">
        <v>56764</v>
      </c>
      <c r="G12" s="17" t="n">
        <v>15633</v>
      </c>
      <c r="H12" s="17" t="n">
        <v>60097</v>
      </c>
    </row>
    <row r="13">
      <c r="B13" s="16" t="n">
        <v>45870</v>
      </c>
      <c r="C13" s="17" t="n">
        <v>80387</v>
      </c>
      <c r="D13" s="17" t="n">
        <v>45887</v>
      </c>
      <c r="E13" s="17" t="n">
        <v>32191</v>
      </c>
      <c r="F13" s="17" t="n">
        <v>55862</v>
      </c>
      <c r="G13" s="17" t="n">
        <v>15231</v>
      </c>
      <c r="H13" s="17" t="n">
        <v>58400</v>
      </c>
    </row>
    <row r="14">
      <c r="B14" s="16" t="n">
        <v>45901</v>
      </c>
      <c r="C14" s="17" t="n">
        <v>81241</v>
      </c>
      <c r="D14" s="17" t="n">
        <v>48151</v>
      </c>
      <c r="E14" s="17" t="n">
        <v>32510</v>
      </c>
      <c r="F14" s="17" t="n">
        <v>58214</v>
      </c>
      <c r="G14" s="17" t="n">
        <v>15500</v>
      </c>
      <c r="H14" s="17" t="n">
        <v>61533</v>
      </c>
    </row>
    <row r="15">
      <c r="B15" s="16" t="n">
        <v>45931</v>
      </c>
      <c r="C15" s="17" t="n">
        <v>86588</v>
      </c>
      <c r="D15" s="17" t="n">
        <v>52178</v>
      </c>
      <c r="E15" s="17" t="n">
        <v>34874</v>
      </c>
      <c r="F15" s="17" t="n">
        <v>63935</v>
      </c>
      <c r="G15" s="17" t="n">
        <v>16425</v>
      </c>
      <c r="H15" s="17" t="n">
        <v>66467</v>
      </c>
    </row>
    <row r="16">
      <c r="B16" s="16" t="n">
        <v>45962</v>
      </c>
      <c r="C16" s="17" t="n">
        <v>82445</v>
      </c>
      <c r="D16" s="17" t="n">
        <v>50800</v>
      </c>
      <c r="E16" s="17" t="n">
        <v>33352</v>
      </c>
      <c r="F16" s="17" t="n">
        <v>61502</v>
      </c>
      <c r="G16" s="17" t="n">
        <v>15957</v>
      </c>
      <c r="H16" s="17" t="n">
        <v>64975</v>
      </c>
    </row>
    <row r="17">
      <c r="B17" s="16" t="n">
        <v>45992</v>
      </c>
      <c r="C17" s="17" t="n">
        <v>84256</v>
      </c>
      <c r="D17" s="17" t="n">
        <v>51483</v>
      </c>
      <c r="E17" s="17" t="n">
        <v>34291</v>
      </c>
      <c r="F17" s="17" t="n">
        <v>62732</v>
      </c>
      <c r="G17" s="17" t="n">
        <v>16164</v>
      </c>
      <c r="H17" s="17" t="n">
        <v>66112</v>
      </c>
    </row>
  </sheetData>
  <pageMargins left="0.75" right="0.75" top="1" bottom="1" header="0.5" footer="0.5"/>
  <pageSetup orientation="landscape" fitToHeight="0" fitToWidth="1"/>
  <headerFooter>
    <oddHeader/>
    <oddFooter>&amp;L&amp;"Arial,Regular"&amp;10 Power cost model (sample). Made-up numbers.&amp;R&amp;"Arial,Regular"&amp;10 &amp;A,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B1:H31"/>
  <sheetViews>
    <sheetView tabSelected="0" zoomScale="100" workbookViewId="0">
      <pane xSplit="2" ySplit="4" topLeftCell="C5" activePane="bottomRight" state="frozen"/>
      <selection pane="topRight"/>
      <selection pane="bottomLeft"/>
      <selection pane="bottomRight" activeCell="C6" sqref="C6"/>
    </sheetView>
  </sheetViews>
  <sheetFormatPr baseColWidth="8" defaultRowHeight="15"/>
  <cols>
    <col width="2" customWidth="1" min="1" max="1"/>
    <col width="11" customWidth="1" min="2" max="2"/>
    <col width="13" customWidth="1" min="3" max="3"/>
    <col width="13" customWidth="1" min="4" max="4"/>
    <col width="13" customWidth="1" min="5" max="5"/>
    <col width="13" customWidth="1" min="6" max="6"/>
    <col width="13" customWidth="1" min="7" max="7"/>
    <col width="13" customWidth="1" min="8" max="8"/>
  </cols>
  <sheetData>
    <row r="1">
      <c r="B1" s="1" t="inlineStr">
        <is>
          <t>Invoices</t>
        </is>
      </c>
    </row>
    <row r="2">
      <c r="B2" s="7" t="inlineStr">
        <is>
          <t>What the utility billed each site, by month. Inputs, made-up numbers.</t>
        </is>
      </c>
    </row>
    <row r="4">
      <c r="B4" s="10" t="inlineStr">
        <is>
          <t>Month</t>
        </is>
      </c>
      <c r="C4" s="11" t="inlineStr">
        <is>
          <t>Site A</t>
        </is>
      </c>
      <c r="D4" s="11" t="inlineStr">
        <is>
          <t>Site B</t>
        </is>
      </c>
      <c r="E4" s="11" t="inlineStr">
        <is>
          <t>Site C</t>
        </is>
      </c>
      <c r="F4" s="11" t="inlineStr">
        <is>
          <t>Site D</t>
        </is>
      </c>
      <c r="G4" s="11" t="inlineStr">
        <is>
          <t>Site E</t>
        </is>
      </c>
      <c r="H4" s="11" t="inlineStr">
        <is>
          <t>Site F</t>
        </is>
      </c>
    </row>
    <row r="5">
      <c r="B5" s="3" t="inlineStr">
        <is>
          <t>Invoiced energy (MWh)</t>
        </is>
      </c>
    </row>
    <row r="6">
      <c r="B6" s="16" t="n">
        <v>45658</v>
      </c>
      <c r="C6" s="17" t="n">
        <v>84902</v>
      </c>
      <c r="D6" s="17" t="n">
        <v>52076</v>
      </c>
      <c r="E6" s="17" t="n">
        <v>34149</v>
      </c>
      <c r="F6" s="17" t="n">
        <v>61991</v>
      </c>
      <c r="G6" s="17" t="n">
        <v>16262</v>
      </c>
      <c r="H6" s="17" t="n">
        <v>65754</v>
      </c>
    </row>
    <row r="7">
      <c r="B7" s="16" t="n">
        <v>45689</v>
      </c>
      <c r="C7" s="17" t="n">
        <v>73779</v>
      </c>
      <c r="D7" s="17" t="n">
        <v>44211</v>
      </c>
      <c r="E7" s="17" t="n">
        <v>30106</v>
      </c>
      <c r="F7" s="17" t="n">
        <v>53052</v>
      </c>
      <c r="G7" s="17" t="n">
        <v>14065</v>
      </c>
      <c r="H7" s="17" t="n">
        <v>55526</v>
      </c>
    </row>
    <row r="8">
      <c r="B8" s="16" t="n">
        <v>45717</v>
      </c>
      <c r="C8" s="17" t="n">
        <v>86575</v>
      </c>
      <c r="D8" s="17" t="n">
        <v>52215</v>
      </c>
      <c r="E8" s="17" t="n">
        <v>35133</v>
      </c>
      <c r="F8" s="17" t="n">
        <v>63588</v>
      </c>
      <c r="G8" s="17" t="n">
        <v>16443</v>
      </c>
      <c r="H8" s="17" t="n">
        <v>66542</v>
      </c>
    </row>
    <row r="9">
      <c r="B9" s="16" t="n">
        <v>45748</v>
      </c>
      <c r="C9" s="17" t="n">
        <v>83272</v>
      </c>
      <c r="D9" s="17" t="n">
        <v>51445</v>
      </c>
      <c r="E9" s="17" t="n">
        <v>33644</v>
      </c>
      <c r="F9" s="17" t="n">
        <v>61648</v>
      </c>
      <c r="G9" s="17" t="n">
        <v>15956</v>
      </c>
      <c r="H9" s="17" t="n">
        <v>64677</v>
      </c>
    </row>
    <row r="10">
      <c r="B10" s="16" t="n">
        <v>45778</v>
      </c>
      <c r="C10" s="17" t="n">
        <v>85811</v>
      </c>
      <c r="D10" s="17" t="n">
        <v>52216</v>
      </c>
      <c r="E10" s="17" t="n">
        <v>34660</v>
      </c>
      <c r="F10" s="17" t="n">
        <v>67698</v>
      </c>
      <c r="G10" s="17" t="n">
        <v>16422</v>
      </c>
      <c r="H10" s="17" t="n">
        <v>66365</v>
      </c>
    </row>
    <row r="11">
      <c r="B11" s="16" t="n">
        <v>45809</v>
      </c>
      <c r="C11" s="17" t="n">
        <v>80698</v>
      </c>
      <c r="D11" s="17" t="n">
        <v>49353</v>
      </c>
      <c r="E11" s="17" t="n">
        <v>32523</v>
      </c>
      <c r="F11" s="17" t="n">
        <v>63658</v>
      </c>
      <c r="G11" s="17" t="n">
        <v>15704</v>
      </c>
      <c r="H11" s="17" t="n">
        <v>62588</v>
      </c>
    </row>
    <row r="12">
      <c r="B12" s="16" t="n">
        <v>45839</v>
      </c>
      <c r="C12" s="17" t="n">
        <v>80426</v>
      </c>
      <c r="D12" s="17" t="n">
        <v>46927</v>
      </c>
      <c r="E12" s="17" t="n">
        <v>33043</v>
      </c>
      <c r="F12" s="17" t="n">
        <v>59916</v>
      </c>
      <c r="G12" s="17" t="n">
        <v>15627</v>
      </c>
      <c r="H12" s="17" t="n">
        <v>60097</v>
      </c>
    </row>
    <row r="13">
      <c r="B13" s="16" t="n">
        <v>45870</v>
      </c>
      <c r="C13" s="17" t="n">
        <v>80156</v>
      </c>
      <c r="D13" s="17" t="n">
        <v>45945</v>
      </c>
      <c r="E13" s="17" t="n">
        <v>32095</v>
      </c>
      <c r="F13" s="17" t="n">
        <v>59516</v>
      </c>
      <c r="G13" s="17" t="n">
        <v>15231</v>
      </c>
      <c r="H13" s="17" t="n">
        <v>58400</v>
      </c>
    </row>
    <row r="14">
      <c r="B14" s="16" t="n">
        <v>45901</v>
      </c>
      <c r="C14" s="17" t="n">
        <v>81466</v>
      </c>
      <c r="D14" s="17" t="n">
        <v>48151</v>
      </c>
      <c r="E14" s="17" t="n">
        <v>32510</v>
      </c>
      <c r="F14" s="17" t="n">
        <v>62148</v>
      </c>
      <c r="G14" s="17" t="n">
        <v>15500</v>
      </c>
      <c r="H14" s="17" t="n">
        <v>61533</v>
      </c>
    </row>
    <row r="15">
      <c r="B15" s="16" t="n">
        <v>45931</v>
      </c>
      <c r="C15" s="17" t="n">
        <v>86830</v>
      </c>
      <c r="D15" s="17" t="n">
        <v>52315</v>
      </c>
      <c r="E15" s="17" t="n">
        <v>34804</v>
      </c>
      <c r="F15" s="17" t="n">
        <v>67685</v>
      </c>
      <c r="G15" s="17" t="n">
        <v>16425</v>
      </c>
      <c r="H15" s="17" t="n">
        <v>66467</v>
      </c>
    </row>
    <row r="16">
      <c r="B16" s="16" t="n">
        <v>45962</v>
      </c>
      <c r="C16" s="17" t="n">
        <v>82275</v>
      </c>
      <c r="D16" s="17" t="n">
        <v>50776</v>
      </c>
      <c r="E16" s="17" t="n">
        <v>33411</v>
      </c>
      <c r="F16" s="17" t="n">
        <v>65108</v>
      </c>
      <c r="G16" s="17" t="n">
        <v>15930</v>
      </c>
      <c r="H16" s="17" t="n">
        <v>64914</v>
      </c>
    </row>
    <row r="17">
      <c r="B17" s="16" t="n">
        <v>45992</v>
      </c>
      <c r="C17" s="17" t="n">
        <v>84293</v>
      </c>
      <c r="D17" s="17" t="n">
        <v>51377</v>
      </c>
      <c r="E17" s="17" t="n">
        <v>34341</v>
      </c>
      <c r="F17" s="17" t="n">
        <v>66866</v>
      </c>
      <c r="G17" s="17" t="n">
        <v>16177</v>
      </c>
      <c r="H17" s="17" t="n">
        <v>66231</v>
      </c>
    </row>
    <row r="19">
      <c r="B19" s="3" t="inlineStr">
        <is>
          <t>Invoiced amount ($)</t>
        </is>
      </c>
    </row>
    <row r="20">
      <c r="B20" s="16" t="n">
        <v>45658</v>
      </c>
      <c r="C20" s="14" t="n">
        <v>3793719.73</v>
      </c>
      <c r="D20" s="14" t="n">
        <v>2112462.13</v>
      </c>
      <c r="E20" s="14" t="n">
        <v>1802889.96</v>
      </c>
      <c r="F20" s="14" t="n">
        <v>2676785.08</v>
      </c>
      <c r="G20" s="14" t="n">
        <v>907385.74</v>
      </c>
      <c r="H20" s="14" t="n">
        <v>2603858.52</v>
      </c>
    </row>
    <row r="21">
      <c r="B21" s="16" t="n">
        <v>45689</v>
      </c>
      <c r="C21" s="14" t="n">
        <v>3309020.96</v>
      </c>
      <c r="D21" s="14" t="n">
        <v>2644484.18</v>
      </c>
      <c r="E21" s="14" t="n">
        <v>1588294.6</v>
      </c>
      <c r="F21" s="14" t="n">
        <v>3659493.97</v>
      </c>
      <c r="G21" s="14" t="n">
        <v>785435.2</v>
      </c>
      <c r="H21" s="14" t="n">
        <v>3545395.01</v>
      </c>
    </row>
    <row r="22">
      <c r="B22" s="16" t="n">
        <v>45717</v>
      </c>
      <c r="C22" s="14" t="n">
        <v>3870499.65</v>
      </c>
      <c r="D22" s="14" t="n">
        <v>1907735.78</v>
      </c>
      <c r="E22" s="14" t="n">
        <v>1855149.11</v>
      </c>
      <c r="F22" s="14" t="n">
        <v>2464267.83</v>
      </c>
      <c r="G22" s="14" t="n">
        <v>916571.77</v>
      </c>
      <c r="H22" s="14" t="n">
        <v>2349415.11</v>
      </c>
    </row>
    <row r="23">
      <c r="B23" s="16" t="n">
        <v>45748</v>
      </c>
      <c r="C23" s="14" t="n">
        <v>3725369.4</v>
      </c>
      <c r="D23" s="14" t="n">
        <v>1763886.24</v>
      </c>
      <c r="E23" s="14" t="n">
        <v>1776813.83</v>
      </c>
      <c r="F23" s="14" t="n">
        <v>2279152.11</v>
      </c>
      <c r="G23" s="14" t="n">
        <v>892359.1800000001</v>
      </c>
      <c r="H23" s="14" t="n">
        <v>2141966.39</v>
      </c>
    </row>
    <row r="24">
      <c r="B24" s="16" t="n">
        <v>45778</v>
      </c>
      <c r="C24" s="14" t="n">
        <v>3842080.6</v>
      </c>
      <c r="D24" s="14" t="n">
        <v>2032752.68</v>
      </c>
      <c r="E24" s="14" t="n">
        <v>1832850.33</v>
      </c>
      <c r="F24" s="14" t="n">
        <v>2859152.56</v>
      </c>
      <c r="G24" s="14" t="n">
        <v>915550.3199999999</v>
      </c>
      <c r="H24" s="14" t="n">
        <v>2513893.06</v>
      </c>
    </row>
    <row r="25">
      <c r="B25" s="16" t="n">
        <v>45809</v>
      </c>
      <c r="C25" s="14" t="n">
        <v>3604156.74</v>
      </c>
      <c r="D25" s="14" t="n">
        <v>2267962.11</v>
      </c>
      <c r="E25" s="14" t="n">
        <v>1716745.82</v>
      </c>
      <c r="F25" s="14" t="n">
        <v>3201016.97</v>
      </c>
      <c r="G25" s="14" t="n">
        <v>876802.9</v>
      </c>
      <c r="H25" s="14" t="n">
        <v>2856715.88</v>
      </c>
    </row>
    <row r="26">
      <c r="B26" s="16" t="n">
        <v>45839</v>
      </c>
      <c r="C26" s="14" t="n">
        <v>3603671.65</v>
      </c>
      <c r="D26" s="14" t="n">
        <v>2871805.37</v>
      </c>
      <c r="E26" s="14" t="n">
        <v>1741646.66</v>
      </c>
      <c r="F26" s="14" t="n">
        <v>4164821.7</v>
      </c>
      <c r="G26" s="14" t="n">
        <v>872445.62</v>
      </c>
      <c r="H26" s="14" t="n">
        <v>3855770.47</v>
      </c>
    </row>
    <row r="27">
      <c r="B27" s="16" t="n">
        <v>45870</v>
      </c>
      <c r="C27" s="14" t="n">
        <v>3577711.31</v>
      </c>
      <c r="D27" s="14" t="n">
        <v>2964512.69</v>
      </c>
      <c r="E27" s="14" t="n">
        <v>1690345.03</v>
      </c>
      <c r="F27" s="14" t="n">
        <v>4403835.68</v>
      </c>
      <c r="G27" s="14" t="n">
        <v>852395.08</v>
      </c>
      <c r="H27" s="14" t="n">
        <v>3985775.38</v>
      </c>
    </row>
    <row r="28">
      <c r="B28" s="16" t="n">
        <v>45901</v>
      </c>
      <c r="C28" s="14" t="n">
        <v>3647308.64</v>
      </c>
      <c r="D28" s="14" t="n">
        <v>2334016.18</v>
      </c>
      <c r="E28" s="14" t="n">
        <v>1720161.26</v>
      </c>
      <c r="F28" s="14" t="n">
        <v>3174590.87</v>
      </c>
      <c r="G28" s="14" t="n">
        <v>867760.3100000001</v>
      </c>
      <c r="H28" s="14" t="n">
        <v>2933588.31</v>
      </c>
    </row>
    <row r="29">
      <c r="B29" s="16" t="n">
        <v>45931</v>
      </c>
      <c r="C29" s="14" t="n">
        <v>3873122.01</v>
      </c>
      <c r="D29" s="14" t="n">
        <v>2063778.92</v>
      </c>
      <c r="E29" s="14" t="n">
        <v>1832761.65</v>
      </c>
      <c r="F29" s="14" t="n">
        <v>2883532.52</v>
      </c>
      <c r="G29" s="14" t="n">
        <v>916867.6800000001</v>
      </c>
      <c r="H29" s="14" t="n">
        <v>2585699.39</v>
      </c>
    </row>
    <row r="30">
      <c r="B30" s="16" t="n">
        <v>45962</v>
      </c>
      <c r="C30" s="14" t="n">
        <v>3671121.66</v>
      </c>
      <c r="D30" s="14" t="n">
        <v>1890315.15</v>
      </c>
      <c r="E30" s="14" t="n">
        <v>1762494.89</v>
      </c>
      <c r="F30" s="14" t="n">
        <v>2604711.46</v>
      </c>
      <c r="G30" s="14" t="n">
        <v>891567.76</v>
      </c>
      <c r="H30" s="14" t="n">
        <v>2344530.82</v>
      </c>
    </row>
    <row r="31">
      <c r="B31" s="16" t="n">
        <v>45992</v>
      </c>
      <c r="C31" s="14" t="n">
        <v>3766328.98</v>
      </c>
      <c r="D31" s="14" t="n">
        <v>2167070.5</v>
      </c>
      <c r="E31" s="14" t="n">
        <v>1810827.73</v>
      </c>
      <c r="F31" s="14" t="n">
        <v>3001422.81</v>
      </c>
      <c r="G31" s="14" t="n">
        <v>904221.86</v>
      </c>
      <c r="H31" s="14" t="n">
        <v>2703641.83</v>
      </c>
    </row>
  </sheetData>
  <pageMargins left="0.75" right="0.75" top="1" bottom="1" header="0.5" footer="0.5"/>
  <pageSetup orientation="landscape" fitToHeight="0" fitToWidth="1"/>
  <headerFooter>
    <oddHeader/>
    <oddFooter>&amp;L&amp;"Arial,Regular"&amp;10 Power cost model (sample). Made-up numbers.&amp;R&amp;"Arial,Regular"&amp;10 &amp;A,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B1:I181"/>
  <sheetViews>
    <sheetView tabSelected="0" zoomScale="100" workbookViewId="0">
      <pane xSplit="2" ySplit="4" topLeftCell="C5" activePane="bottomRight" state="frozen"/>
      <selection pane="topRight"/>
      <selection pane="bottomLeft"/>
      <selection pane="bottomRight" activeCell="C7" sqref="C7"/>
    </sheetView>
  </sheetViews>
  <sheetFormatPr baseColWidth="8" defaultRowHeight="15"/>
  <cols>
    <col width="2" customWidth="1" min="1" max="1"/>
    <col width="3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B1" s="1" t="inlineStr">
        <is>
          <t>Calc</t>
        </is>
      </c>
    </row>
    <row r="2">
      <c r="B2" s="7" t="inlineStr">
        <is>
          <t>Formulas only. Builds the expected cost from contract terms, then compares it with the bills. Amounts in the Fleet column add up the six sites.</t>
        </is>
      </c>
    </row>
    <row r="4">
      <c r="B4" s="18" t="n"/>
      <c r="C4" s="19" t="str">
        <f>Sites!B5</f>
        <v>Site A</v>
      </c>
      <c r="D4" s="19" t="str">
        <f>Sites!B6</f>
        <v>Site B</v>
      </c>
      <c r="E4" s="19" t="str">
        <f>Sites!B7</f>
        <v>Site C</v>
      </c>
      <c r="F4" s="19" t="str">
        <f>Sites!B8</f>
        <v>Site D</v>
      </c>
      <c r="G4" s="19" t="str">
        <f>Sites!B9</f>
        <v>Site E</v>
      </c>
      <c r="H4" s="19" t="str">
        <f>Sites!B10</f>
        <v>Site F</v>
      </c>
      <c r="I4" s="11" t="inlineStr">
        <is>
          <t>Fleet</t>
        </is>
      </c>
    </row>
    <row r="6">
      <c r="B6" s="20" t="inlineStr">
        <is>
          <t>Site terms</t>
        </is>
      </c>
      <c r="C6" s="21" t="n"/>
      <c r="D6" s="21" t="n"/>
      <c r="E6" s="21" t="n"/>
      <c r="F6" s="21" t="n"/>
      <c r="G6" s="21" t="n"/>
      <c r="H6" s="21" t="n"/>
      <c r="I6" s="21" t="n"/>
    </row>
    <row r="7">
      <c r="B7" s="2" t="inlineStr">
        <is>
          <t>Market</t>
        </is>
      </c>
      <c r="C7" s="22" t="str">
        <f>Sites!C5</f>
        <v>ERCOT West</v>
      </c>
      <c r="D7" s="22" t="str">
        <f>Sites!C6</f>
        <v>ERCOT West</v>
      </c>
      <c r="E7" s="22" t="str">
        <f>Sites!C7</f>
        <v>ERCOT North</v>
      </c>
      <c r="F7" s="22" t="str">
        <f>Sites!C8</f>
        <v>ERCOT South</v>
      </c>
      <c r="G7" s="22" t="str">
        <f>Sites!C9</f>
        <v>ERCOT Houston</v>
      </c>
      <c r="H7" s="22" t="str">
        <f>Sites!C10</f>
        <v>ERCOT North</v>
      </c>
    </row>
    <row r="8">
      <c r="B8" s="2" t="inlineStr">
        <is>
          <t>Energy contract</t>
        </is>
      </c>
      <c r="C8" s="22" t="str">
        <f>Sites!E5</f>
        <v>Fixed</v>
      </c>
      <c r="D8" s="22" t="str">
        <f>Sites!E6</f>
        <v>Index</v>
      </c>
      <c r="E8" s="22" t="str">
        <f>Sites!E7</f>
        <v>Fixed</v>
      </c>
      <c r="F8" s="22" t="str">
        <f>Sites!E8</f>
        <v>Index</v>
      </c>
      <c r="G8" s="22" t="str">
        <f>Sites!E9</f>
        <v>Fixed</v>
      </c>
      <c r="H8" s="22" t="str">
        <f>Sites!E10</f>
        <v>Index</v>
      </c>
    </row>
    <row r="9">
      <c r="B9" s="2" t="inlineStr">
        <is>
          <t>Contracted capacity (MW)</t>
        </is>
      </c>
      <c r="C9" s="23">
        <f>Sites!D5</f>
        <v>120.0</v>
      </c>
      <c r="D9" s="23">
        <f>Sites!D6</f>
        <v>75.0</v>
      </c>
      <c r="E9" s="23">
        <f>Sites!D7</f>
        <v>48.0</v>
      </c>
      <c r="F9" s="23">
        <f>Sites!D8</f>
        <v>90.0</v>
      </c>
      <c r="G9" s="23">
        <f>Sites!D9</f>
        <v>22.5</v>
      </c>
      <c r="H9" s="23">
        <f>Sites!D10</f>
        <v>97.0</v>
      </c>
      <c r="I9" s="24">
        <f>SUM(C9:H9)</f>
        <v>452.5</v>
      </c>
    </row>
    <row r="10">
      <c r="B10" s="2" t="inlineStr">
        <is>
          <t>Fixed energy price ($/MWh)</t>
        </is>
      </c>
      <c r="C10" s="25">
        <f>Sites!F5</f>
        <v>36.4</v>
      </c>
      <c r="D10" s="25">
        <f>Sites!F6</f>
        <v>0</v>
      </c>
      <c r="E10" s="25">
        <f>Sites!F7</f>
        <v>41.75</v>
      </c>
      <c r="F10" s="25">
        <f>Sites!F8</f>
        <v>0</v>
      </c>
      <c r="G10" s="25">
        <f>Sites!F9</f>
        <v>43.9</v>
      </c>
      <c r="H10" s="25">
        <f>Sites!F10</f>
        <v>0</v>
      </c>
    </row>
    <row r="11">
      <c r="B11" s="2" t="inlineStr">
        <is>
          <t>Index adder ($/MWh)</t>
        </is>
      </c>
      <c r="C11" s="25">
        <f>Sites!G5</f>
        <v>0</v>
      </c>
      <c r="D11" s="25">
        <f>Sites!G6</f>
        <v>2.75</v>
      </c>
      <c r="E11" s="25">
        <f>Sites!G7</f>
        <v>0</v>
      </c>
      <c r="F11" s="25">
        <f>Sites!G8</f>
        <v>3.4</v>
      </c>
      <c r="G11" s="25">
        <f>Sites!G9</f>
        <v>0</v>
      </c>
      <c r="H11" s="25">
        <f>Sites!G10</f>
        <v>2.25</v>
      </c>
    </row>
    <row r="12">
      <c r="B12" s="2" t="inlineStr">
        <is>
          <t>Delivery charge ($/MWh)</t>
        </is>
      </c>
      <c r="C12" s="25">
        <f>Sites!H5</f>
        <v>7.85</v>
      </c>
      <c r="D12" s="25">
        <f>Sites!H6</f>
        <v>9.1</v>
      </c>
      <c r="E12" s="25">
        <f>Sites!H7</f>
        <v>10.6</v>
      </c>
      <c r="F12" s="25">
        <f>Sites!H8</f>
        <v>8.3</v>
      </c>
      <c r="G12" s="25">
        <f>Sites!H9</f>
        <v>11.4</v>
      </c>
      <c r="H12" s="25">
        <f>Sites!H10</f>
        <v>6.75</v>
      </c>
    </row>
    <row r="13">
      <c r="B13" s="2" t="inlineStr">
        <is>
          <t>Fixed monthly charges ($)</t>
        </is>
      </c>
      <c r="C13" s="26">
        <f>Sites!I5</f>
        <v>36500</v>
      </c>
      <c r="D13" s="26">
        <f>Sites!I6</f>
        <v>19800</v>
      </c>
      <c r="E13" s="26">
        <f>Sites!I7</f>
        <v>14250</v>
      </c>
      <c r="F13" s="26">
        <f>Sites!I8</f>
        <v>27600</v>
      </c>
      <c r="G13" s="26">
        <f>Sites!I9</f>
        <v>8900</v>
      </c>
      <c r="H13" s="26">
        <f>Sites!I10</f>
        <v>31200</v>
      </c>
      <c r="I13" s="27">
        <f>SUM(C13:H13)</f>
        <v>138250</v>
      </c>
    </row>
    <row r="14">
      <c r="B14" s="2" t="inlineStr">
        <is>
          <t>Budgeted uptime (%)</t>
        </is>
      </c>
      <c r="C14" s="28">
        <f>Sites!J5</f>
        <v>0.95</v>
      </c>
      <c r="D14" s="28">
        <f>Sites!J6</f>
        <v>0.93</v>
      </c>
      <c r="E14" s="28">
        <f>Sites!J7</f>
        <v>0.96</v>
      </c>
      <c r="F14" s="28">
        <f>Sites!J8</f>
        <v>0.94</v>
      </c>
      <c r="G14" s="28">
        <f>Sites!J9</f>
        <v>0.97</v>
      </c>
      <c r="H14" s="28">
        <f>Sites!J10</f>
        <v>0.92</v>
      </c>
    </row>
    <row r="15">
      <c r="B15" s="2" t="inlineStr">
        <is>
          <t>Budgeted energy for the year (MWh)</t>
        </is>
      </c>
      <c r="C15" s="29">
        <f>C9*HoursInYear*C14</f>
        <v>998640.0</v>
      </c>
      <c r="D15" s="29">
        <f>D9*HoursInYear*D14</f>
        <v>611010.0</v>
      </c>
      <c r="E15" s="29">
        <f>E9*HoursInYear*E14</f>
        <v>403660.8</v>
      </c>
      <c r="F15" s="29">
        <f>F9*HoursInYear*F14</f>
        <v>741096.0</v>
      </c>
      <c r="G15" s="29">
        <f>G9*HoursInYear*G14</f>
        <v>191187.0</v>
      </c>
      <c r="H15" s="29">
        <f>H9*HoursInYear*H14</f>
        <v>781742.4</v>
      </c>
      <c r="I15" s="29">
        <f>SUM(C15:H15)</f>
        <v>3727336.2</v>
      </c>
    </row>
    <row r="17">
      <c r="B17" s="20" t="inlineStr">
        <is>
          <t>Expected cost</t>
        </is>
      </c>
      <c r="C17" s="21" t="n"/>
      <c r="D17" s="21" t="n"/>
      <c r="E17" s="21" t="n"/>
      <c r="F17" s="21" t="n"/>
      <c r="G17" s="21" t="n"/>
      <c r="H17" s="21" t="n"/>
      <c r="I17" s="21" t="n"/>
    </row>
    <row r="18">
      <c r="B18" s="3" t="inlineStr">
        <is>
          <t>Metered energy (MWh), from Meter data</t>
        </is>
      </c>
    </row>
    <row r="19">
      <c r="B19" s="30">
        <f>'Meter data'!B6</f>
        <v>45658</v>
      </c>
      <c r="C19" s="31">
        <f>'Meter data'!C6</f>
        <v>84740</v>
      </c>
      <c r="D19" s="31">
        <f>'Meter data'!D6</f>
        <v>51912</v>
      </c>
      <c r="E19" s="31">
        <f>'Meter data'!E6</f>
        <v>34149</v>
      </c>
      <c r="F19" s="31">
        <f>'Meter data'!F6</f>
        <v>61991</v>
      </c>
      <c r="G19" s="31">
        <f>'Meter data'!G6</f>
        <v>16262</v>
      </c>
      <c r="H19" s="31">
        <f>'Meter data'!H6</f>
        <v>65754</v>
      </c>
      <c r="I19" s="29">
        <f>SUM(C19:H19)</f>
        <v>314808</v>
      </c>
    </row>
    <row r="20">
      <c r="B20" s="30">
        <f>'Meter data'!B7</f>
        <v>45689</v>
      </c>
      <c r="C20" s="31">
        <f>'Meter data'!C7</f>
        <v>73779</v>
      </c>
      <c r="D20" s="31">
        <f>'Meter data'!D7</f>
        <v>44060</v>
      </c>
      <c r="E20" s="31">
        <f>'Meter data'!E7</f>
        <v>30106</v>
      </c>
      <c r="F20" s="31">
        <f>'Meter data'!F7</f>
        <v>53154</v>
      </c>
      <c r="G20" s="31">
        <f>'Meter data'!G7</f>
        <v>14065</v>
      </c>
      <c r="H20" s="31">
        <f>'Meter data'!H7</f>
        <v>55526</v>
      </c>
      <c r="I20" s="29">
        <f>SUM(C20:H20)</f>
        <v>270690</v>
      </c>
    </row>
    <row r="21">
      <c r="B21" s="30">
        <f>'Meter data'!B8</f>
        <v>45717</v>
      </c>
      <c r="C21" s="31">
        <f>'Meter data'!C8</f>
        <v>86575</v>
      </c>
      <c r="D21" s="31">
        <f>'Meter data'!D8</f>
        <v>52287</v>
      </c>
      <c r="E21" s="31">
        <f>'Meter data'!E8</f>
        <v>35029</v>
      </c>
      <c r="F21" s="31">
        <f>'Meter data'!F8</f>
        <v>63585</v>
      </c>
      <c r="G21" s="31">
        <f>'Meter data'!G8</f>
        <v>16443</v>
      </c>
      <c r="H21" s="31">
        <f>'Meter data'!H8</f>
        <v>66563</v>
      </c>
      <c r="I21" s="29">
        <f>SUM(C21:H21)</f>
        <v>320482</v>
      </c>
    </row>
    <row r="22">
      <c r="B22" s="30">
        <f>'Meter data'!B9</f>
        <v>45748</v>
      </c>
      <c r="C22" s="31">
        <f>'Meter data'!C9</f>
        <v>83002</v>
      </c>
      <c r="D22" s="31">
        <f>'Meter data'!D9</f>
        <v>51445</v>
      </c>
      <c r="E22" s="31">
        <f>'Meter data'!E9</f>
        <v>33582</v>
      </c>
      <c r="F22" s="31">
        <f>'Meter data'!F9</f>
        <v>61648</v>
      </c>
      <c r="G22" s="31">
        <f>'Meter data'!G9</f>
        <v>15957</v>
      </c>
      <c r="H22" s="31">
        <f>'Meter data'!H9</f>
        <v>64726</v>
      </c>
      <c r="I22" s="29">
        <f>SUM(C22:H22)</f>
        <v>310360</v>
      </c>
    </row>
    <row r="23">
      <c r="B23" s="30">
        <f>'Meter data'!B10</f>
        <v>45778</v>
      </c>
      <c r="C23" s="31">
        <f>'Meter data'!C10</f>
        <v>85767</v>
      </c>
      <c r="D23" s="31">
        <f>'Meter data'!D10</f>
        <v>52187</v>
      </c>
      <c r="E23" s="31">
        <f>'Meter data'!E10</f>
        <v>34660</v>
      </c>
      <c r="F23" s="31">
        <f>'Meter data'!F10</f>
        <v>63965</v>
      </c>
      <c r="G23" s="31">
        <f>'Meter data'!G10</f>
        <v>16397</v>
      </c>
      <c r="H23" s="31">
        <f>'Meter data'!H10</f>
        <v>66365</v>
      </c>
      <c r="I23" s="29">
        <f>SUM(C23:H23)</f>
        <v>319341</v>
      </c>
    </row>
    <row r="24">
      <c r="B24" s="30">
        <f>'Meter data'!B11</f>
        <v>45809</v>
      </c>
      <c r="C24" s="31">
        <f>'Meter data'!C11</f>
        <v>80610</v>
      </c>
      <c r="D24" s="31">
        <f>'Meter data'!D11</f>
        <v>49353</v>
      </c>
      <c r="E24" s="31">
        <f>'Meter data'!E11</f>
        <v>32619</v>
      </c>
      <c r="F24" s="31">
        <f>'Meter data'!F11</f>
        <v>59659</v>
      </c>
      <c r="G24" s="31">
        <f>'Meter data'!G11</f>
        <v>15675</v>
      </c>
      <c r="H24" s="31">
        <f>'Meter data'!H11</f>
        <v>62600</v>
      </c>
      <c r="I24" s="29">
        <f>SUM(C24:H24)</f>
        <v>300516</v>
      </c>
    </row>
    <row r="25">
      <c r="B25" s="30">
        <f>'Meter data'!B12</f>
        <v>45839</v>
      </c>
      <c r="C25" s="31">
        <f>'Meter data'!C12</f>
        <v>80426</v>
      </c>
      <c r="D25" s="31">
        <f>'Meter data'!D12</f>
        <v>46923</v>
      </c>
      <c r="E25" s="31">
        <f>'Meter data'!E12</f>
        <v>33043</v>
      </c>
      <c r="F25" s="31">
        <f>'Meter data'!F12</f>
        <v>56764</v>
      </c>
      <c r="G25" s="31">
        <f>'Meter data'!G12</f>
        <v>15633</v>
      </c>
      <c r="H25" s="31">
        <f>'Meter data'!H12</f>
        <v>60097</v>
      </c>
      <c r="I25" s="29">
        <f>SUM(C25:H25)</f>
        <v>292886</v>
      </c>
    </row>
    <row r="26">
      <c r="B26" s="30">
        <f>'Meter data'!B13</f>
        <v>45870</v>
      </c>
      <c r="C26" s="31">
        <f>'Meter data'!C13</f>
        <v>80387</v>
      </c>
      <c r="D26" s="31">
        <f>'Meter data'!D13</f>
        <v>45887</v>
      </c>
      <c r="E26" s="31">
        <f>'Meter data'!E13</f>
        <v>32191</v>
      </c>
      <c r="F26" s="31">
        <f>'Meter data'!F13</f>
        <v>55862</v>
      </c>
      <c r="G26" s="31">
        <f>'Meter data'!G13</f>
        <v>15231</v>
      </c>
      <c r="H26" s="31">
        <f>'Meter data'!H13</f>
        <v>58400</v>
      </c>
      <c r="I26" s="29">
        <f>SUM(C26:H26)</f>
        <v>287958</v>
      </c>
    </row>
    <row r="27">
      <c r="B27" s="30">
        <f>'Meter data'!B14</f>
        <v>45901</v>
      </c>
      <c r="C27" s="31">
        <f>'Meter data'!C14</f>
        <v>81241</v>
      </c>
      <c r="D27" s="31">
        <f>'Meter data'!D14</f>
        <v>48151</v>
      </c>
      <c r="E27" s="31">
        <f>'Meter data'!E14</f>
        <v>32510</v>
      </c>
      <c r="F27" s="31">
        <f>'Meter data'!F14</f>
        <v>58214</v>
      </c>
      <c r="G27" s="31">
        <f>'Meter data'!G14</f>
        <v>15500</v>
      </c>
      <c r="H27" s="31">
        <f>'Meter data'!H14</f>
        <v>61533</v>
      </c>
      <c r="I27" s="29">
        <f>SUM(C27:H27)</f>
        <v>297149</v>
      </c>
    </row>
    <row r="28">
      <c r="B28" s="30">
        <f>'Meter data'!B15</f>
        <v>45931</v>
      </c>
      <c r="C28" s="31">
        <f>'Meter data'!C15</f>
        <v>86588</v>
      </c>
      <c r="D28" s="31">
        <f>'Meter data'!D15</f>
        <v>52178</v>
      </c>
      <c r="E28" s="31">
        <f>'Meter data'!E15</f>
        <v>34874</v>
      </c>
      <c r="F28" s="31">
        <f>'Meter data'!F15</f>
        <v>63935</v>
      </c>
      <c r="G28" s="31">
        <f>'Meter data'!G15</f>
        <v>16425</v>
      </c>
      <c r="H28" s="31">
        <f>'Meter data'!H15</f>
        <v>66467</v>
      </c>
      <c r="I28" s="29">
        <f>SUM(C28:H28)</f>
        <v>320467</v>
      </c>
    </row>
    <row r="29">
      <c r="B29" s="30">
        <f>'Meter data'!B16</f>
        <v>45962</v>
      </c>
      <c r="C29" s="31">
        <f>'Meter data'!C16</f>
        <v>82445</v>
      </c>
      <c r="D29" s="31">
        <f>'Meter data'!D16</f>
        <v>50800</v>
      </c>
      <c r="E29" s="31">
        <f>'Meter data'!E16</f>
        <v>33352</v>
      </c>
      <c r="F29" s="31">
        <f>'Meter data'!F16</f>
        <v>61502</v>
      </c>
      <c r="G29" s="31">
        <f>'Meter data'!G16</f>
        <v>15957</v>
      </c>
      <c r="H29" s="31">
        <f>'Meter data'!H16</f>
        <v>64975</v>
      </c>
      <c r="I29" s="29">
        <f>SUM(C29:H29)</f>
        <v>309031</v>
      </c>
    </row>
    <row r="30">
      <c r="B30" s="30">
        <f>'Meter data'!B17</f>
        <v>45992</v>
      </c>
      <c r="C30" s="31">
        <f>'Meter data'!C17</f>
        <v>84256</v>
      </c>
      <c r="D30" s="31">
        <f>'Meter data'!D17</f>
        <v>51483</v>
      </c>
      <c r="E30" s="31">
        <f>'Meter data'!E17</f>
        <v>34291</v>
      </c>
      <c r="F30" s="31">
        <f>'Meter data'!F17</f>
        <v>62732</v>
      </c>
      <c r="G30" s="31">
        <f>'Meter data'!G17</f>
        <v>16164</v>
      </c>
      <c r="H30" s="31">
        <f>'Meter data'!H17</f>
        <v>66112</v>
      </c>
      <c r="I30" s="29">
        <f>SUM(C30:H30)</f>
        <v>315038</v>
      </c>
    </row>
    <row r="31">
      <c r="B31" s="32" t="inlineStr">
        <is>
          <t>Full year</t>
        </is>
      </c>
      <c r="C31" s="33">
        <f>SUM(C19:C30)</f>
        <v>989816</v>
      </c>
      <c r="D31" s="33">
        <f>SUM(D19:D30)</f>
        <v>596666</v>
      </c>
      <c r="E31" s="33">
        <f>SUM(E19:E30)</f>
        <v>400406</v>
      </c>
      <c r="F31" s="33">
        <f>SUM(F19:F30)</f>
        <v>723011</v>
      </c>
      <c r="G31" s="33">
        <f>SUM(G19:G30)</f>
        <v>189709</v>
      </c>
      <c r="H31" s="33">
        <f>SUM(H19:H30)</f>
        <v>759118</v>
      </c>
      <c r="I31" s="33">
        <f>SUM(I19:I30)</f>
        <v>3658726</v>
      </c>
    </row>
    <row r="33">
      <c r="B33" s="3" t="inlineStr">
        <is>
          <t>Market index price ($/MWh) for the site's market, from Market prices</t>
        </is>
      </c>
    </row>
    <row r="34">
      <c r="B34" s="30">
        <f>'Meter data'!B6</f>
        <v>45658</v>
      </c>
      <c r="C34" s="34">
        <f>INDEX('Market prices'!$C$6:$F$17,MATCH($B34,'Market prices'!$B$6:$B$17,0),MATCH(C$7,'Market prices'!$C$4:$F$4,0))</f>
        <v>28.4</v>
      </c>
      <c r="D34" s="34">
        <f>INDEX('Market prices'!$C$6:$F$17,MATCH($B34,'Market prices'!$B$6:$B$17,0),MATCH(D$7,'Market prices'!$C$4:$F$4,0))</f>
        <v>28.4</v>
      </c>
      <c r="E34" s="34">
        <f>INDEX('Market prices'!$C$6:$F$17,MATCH($B34,'Market prices'!$B$6:$B$17,0),MATCH(E$7,'Market prices'!$C$4:$F$4,0))</f>
        <v>30.15</v>
      </c>
      <c r="F34" s="34">
        <f>INDEX('Market prices'!$C$6:$F$17,MATCH($B34,'Market prices'!$B$6:$B$17,0),MATCH(F$7,'Market prices'!$C$4:$F$4,0))</f>
        <v>31.05</v>
      </c>
      <c r="G34" s="34">
        <f>INDEX('Market prices'!$C$6:$F$17,MATCH($B34,'Market prices'!$B$6:$B$17,0),MATCH(G$7,'Market prices'!$C$4:$F$4,0))</f>
        <v>32.2</v>
      </c>
      <c r="H34" s="34">
        <f>INDEX('Market prices'!$C$6:$F$17,MATCH($B34,'Market prices'!$B$6:$B$17,0),MATCH(H$7,'Market prices'!$C$4:$F$4,0))</f>
        <v>30.15</v>
      </c>
    </row>
    <row r="35">
      <c r="B35" s="30">
        <f>'Meter data'!B7</f>
        <v>45689</v>
      </c>
      <c r="C35" s="34">
        <f>INDEX('Market prices'!$C$6:$F$17,MATCH($B35,'Market prices'!$B$6:$B$17,0),MATCH(C$7,'Market prices'!$C$4:$F$4,0))</f>
        <v>47.6</v>
      </c>
      <c r="D35" s="34">
        <f>INDEX('Market prices'!$C$6:$F$17,MATCH($B35,'Market prices'!$B$6:$B$17,0),MATCH(D$7,'Market prices'!$C$4:$F$4,0))</f>
        <v>47.6</v>
      </c>
      <c r="E35" s="34">
        <f>INDEX('Market prices'!$C$6:$F$17,MATCH($B35,'Market prices'!$B$6:$B$17,0),MATCH(E$7,'Market prices'!$C$4:$F$4,0))</f>
        <v>54.25</v>
      </c>
      <c r="F35" s="34">
        <f>INDEX('Market prices'!$C$6:$F$17,MATCH($B35,'Market prices'!$B$6:$B$17,0),MATCH(F$7,'Market prices'!$C$4:$F$4,0))</f>
        <v>56.8</v>
      </c>
      <c r="G35" s="34">
        <f>INDEX('Market prices'!$C$6:$F$17,MATCH($B35,'Market prices'!$B$6:$B$17,0),MATCH(G$7,'Market prices'!$C$4:$F$4,0))</f>
        <v>58.9</v>
      </c>
      <c r="H35" s="34">
        <f>INDEX('Market prices'!$C$6:$F$17,MATCH($B35,'Market prices'!$B$6:$B$17,0),MATCH(H$7,'Market prices'!$C$4:$F$4,0))</f>
        <v>54.25</v>
      </c>
    </row>
    <row r="36">
      <c r="B36" s="30">
        <f>'Meter data'!B8</f>
        <v>45717</v>
      </c>
      <c r="C36" s="34">
        <f>INDEX('Market prices'!$C$6:$F$17,MATCH($B36,'Market prices'!$B$6:$B$17,0),MATCH(C$7,'Market prices'!$C$4:$F$4,0))</f>
        <v>24.35</v>
      </c>
      <c r="D36" s="34">
        <f>INDEX('Market prices'!$C$6:$F$17,MATCH($B36,'Market prices'!$B$6:$B$17,0),MATCH(D$7,'Market prices'!$C$4:$F$4,0))</f>
        <v>24.35</v>
      </c>
      <c r="E36" s="34">
        <f>INDEX('Market prices'!$C$6:$F$17,MATCH($B36,'Market prices'!$B$6:$B$17,0),MATCH(E$7,'Market prices'!$C$4:$F$4,0))</f>
        <v>25.9</v>
      </c>
      <c r="F36" s="34">
        <f>INDEX('Market prices'!$C$6:$F$17,MATCH($B36,'Market prices'!$B$6:$B$17,0),MATCH(F$7,'Market prices'!$C$4:$F$4,0))</f>
        <v>26.7</v>
      </c>
      <c r="G36" s="34">
        <f>INDEX('Market prices'!$C$6:$F$17,MATCH($B36,'Market prices'!$B$6:$B$17,0),MATCH(G$7,'Market prices'!$C$4:$F$4,0))</f>
        <v>27.45</v>
      </c>
      <c r="H36" s="34">
        <f>INDEX('Market prices'!$C$6:$F$17,MATCH($B36,'Market prices'!$B$6:$B$17,0),MATCH(H$7,'Market prices'!$C$4:$F$4,0))</f>
        <v>25.9</v>
      </c>
    </row>
    <row r="37">
      <c r="B37" s="30">
        <f>'Meter data'!B9</f>
        <v>45748</v>
      </c>
      <c r="C37" s="34">
        <f>INDEX('Market prices'!$C$6:$F$17,MATCH($B37,'Market prices'!$B$6:$B$17,0),MATCH(C$7,'Market prices'!$C$4:$F$4,0))</f>
        <v>22.1</v>
      </c>
      <c r="D37" s="34">
        <f>INDEX('Market prices'!$C$6:$F$17,MATCH($B37,'Market prices'!$B$6:$B$17,0),MATCH(D$7,'Market prices'!$C$4:$F$4,0))</f>
        <v>22.1</v>
      </c>
      <c r="E37" s="34">
        <f>INDEX('Market prices'!$C$6:$F$17,MATCH($B37,'Market prices'!$B$6:$B$17,0),MATCH(E$7,'Market prices'!$C$4:$F$4,0))</f>
        <v>23.6</v>
      </c>
      <c r="F37" s="34">
        <f>INDEX('Market prices'!$C$6:$F$17,MATCH($B37,'Market prices'!$B$6:$B$17,0),MATCH(F$7,'Market prices'!$C$4:$F$4,0))</f>
        <v>24.85</v>
      </c>
      <c r="G37" s="34">
        <f>INDEX('Market prices'!$C$6:$F$17,MATCH($B37,'Market prices'!$B$6:$B$17,0),MATCH(G$7,'Market prices'!$C$4:$F$4,0))</f>
        <v>25.3</v>
      </c>
      <c r="H37" s="34">
        <f>INDEX('Market prices'!$C$6:$F$17,MATCH($B37,'Market prices'!$B$6:$B$17,0),MATCH(H$7,'Market prices'!$C$4:$F$4,0))</f>
        <v>23.6</v>
      </c>
    </row>
    <row r="38">
      <c r="B38" s="30">
        <f>'Meter data'!B10</f>
        <v>45778</v>
      </c>
      <c r="C38" s="34">
        <f>INDEX('Market prices'!$C$6:$F$17,MATCH($B38,'Market prices'!$B$6:$B$17,0),MATCH(C$7,'Market prices'!$C$4:$F$4,0))</f>
        <v>26.75</v>
      </c>
      <c r="D38" s="34">
        <f>INDEX('Market prices'!$C$6:$F$17,MATCH($B38,'Market prices'!$B$6:$B$17,0),MATCH(D$7,'Market prices'!$C$4:$F$4,0))</f>
        <v>26.75</v>
      </c>
      <c r="E38" s="34">
        <f>INDEX('Market prices'!$C$6:$F$17,MATCH($B38,'Market prices'!$B$6:$B$17,0),MATCH(E$7,'Market prices'!$C$4:$F$4,0))</f>
        <v>28.4</v>
      </c>
      <c r="F38" s="34">
        <f>INDEX('Market prices'!$C$6:$F$17,MATCH($B38,'Market prices'!$B$6:$B$17,0),MATCH(F$7,'Market prices'!$C$4:$F$4,0))</f>
        <v>30.2</v>
      </c>
      <c r="G38" s="34">
        <f>INDEX('Market prices'!$C$6:$F$17,MATCH($B38,'Market prices'!$B$6:$B$17,0),MATCH(G$7,'Market prices'!$C$4:$F$4,0))</f>
        <v>31.15</v>
      </c>
      <c r="H38" s="34">
        <f>INDEX('Market prices'!$C$6:$F$17,MATCH($B38,'Market prices'!$B$6:$B$17,0),MATCH(H$7,'Market prices'!$C$4:$F$4,0))</f>
        <v>28.4</v>
      </c>
    </row>
    <row r="39">
      <c r="B39" s="30">
        <f>'Meter data'!B11</f>
        <v>45809</v>
      </c>
      <c r="C39" s="34">
        <f>INDEX('Market prices'!$C$6:$F$17,MATCH($B39,'Market prices'!$B$6:$B$17,0),MATCH(C$7,'Market prices'!$C$4:$F$4,0))</f>
        <v>33.8</v>
      </c>
      <c r="D39" s="34">
        <f>INDEX('Market prices'!$C$6:$F$17,MATCH($B39,'Market prices'!$B$6:$B$17,0),MATCH(D$7,'Market prices'!$C$4:$F$4,0))</f>
        <v>33.8</v>
      </c>
      <c r="E39" s="34">
        <f>INDEX('Market prices'!$C$6:$F$17,MATCH($B39,'Market prices'!$B$6:$B$17,0),MATCH(E$7,'Market prices'!$C$4:$F$4,0))</f>
        <v>36.25</v>
      </c>
      <c r="F39" s="34">
        <f>INDEX('Market prices'!$C$6:$F$17,MATCH($B39,'Market prices'!$B$6:$B$17,0),MATCH(F$7,'Market prices'!$C$4:$F$4,0))</f>
        <v>38.1</v>
      </c>
      <c r="G39" s="34">
        <f>INDEX('Market prices'!$C$6:$F$17,MATCH($B39,'Market prices'!$B$6:$B$17,0),MATCH(G$7,'Market prices'!$C$4:$F$4,0))</f>
        <v>39.4</v>
      </c>
      <c r="H39" s="34">
        <f>INDEX('Market prices'!$C$6:$F$17,MATCH($B39,'Market prices'!$B$6:$B$17,0),MATCH(H$7,'Market prices'!$C$4:$F$4,0))</f>
        <v>36.25</v>
      </c>
    </row>
    <row r="40">
      <c r="B40" s="30">
        <f>'Meter data'!B12</f>
        <v>45839</v>
      </c>
      <c r="C40" s="34">
        <f>INDEX('Market prices'!$C$6:$F$17,MATCH($B40,'Market prices'!$B$6:$B$17,0),MATCH(C$7,'Market prices'!$C$4:$F$4,0))</f>
        <v>48.9</v>
      </c>
      <c r="D40" s="34">
        <f>INDEX('Market prices'!$C$6:$F$17,MATCH($B40,'Market prices'!$B$6:$B$17,0),MATCH(D$7,'Market prices'!$C$4:$F$4,0))</f>
        <v>48.9</v>
      </c>
      <c r="E40" s="34">
        <f>INDEX('Market prices'!$C$6:$F$17,MATCH($B40,'Market prices'!$B$6:$B$17,0),MATCH(E$7,'Market prices'!$C$4:$F$4,0))</f>
        <v>54.7</v>
      </c>
      <c r="F40" s="34">
        <f>INDEX('Market prices'!$C$6:$F$17,MATCH($B40,'Market prices'!$B$6:$B$17,0),MATCH(F$7,'Market prices'!$C$4:$F$4,0))</f>
        <v>57.35</v>
      </c>
      <c r="G40" s="34">
        <f>INDEX('Market prices'!$C$6:$F$17,MATCH($B40,'Market prices'!$B$6:$B$17,0),MATCH(G$7,'Market prices'!$C$4:$F$4,0))</f>
        <v>60.2</v>
      </c>
      <c r="H40" s="34">
        <f>INDEX('Market prices'!$C$6:$F$17,MATCH($B40,'Market prices'!$B$6:$B$17,0),MATCH(H$7,'Market prices'!$C$4:$F$4,0))</f>
        <v>54.7</v>
      </c>
    </row>
    <row r="41">
      <c r="B41" s="30">
        <f>'Meter data'!B13</f>
        <v>45870</v>
      </c>
      <c r="C41" s="34">
        <f>INDEX('Market prices'!$C$6:$F$17,MATCH($B41,'Market prices'!$B$6:$B$17,0),MATCH(C$7,'Market prices'!$C$4:$F$4,0))</f>
        <v>52.4</v>
      </c>
      <c r="D41" s="34">
        <f>INDEX('Market prices'!$C$6:$F$17,MATCH($B41,'Market prices'!$B$6:$B$17,0),MATCH(D$7,'Market prices'!$C$4:$F$4,0))</f>
        <v>52.4</v>
      </c>
      <c r="E41" s="34">
        <f>INDEX('Market prices'!$C$6:$F$17,MATCH($B41,'Market prices'!$B$6:$B$17,0),MATCH(E$7,'Market prices'!$C$4:$F$4,0))</f>
        <v>58.85</v>
      </c>
      <c r="F41" s="34">
        <f>INDEX('Market prices'!$C$6:$F$17,MATCH($B41,'Market prices'!$B$6:$B$17,0),MATCH(F$7,'Market prices'!$C$4:$F$4,0))</f>
        <v>61.9</v>
      </c>
      <c r="G41" s="34">
        <f>INDEX('Market prices'!$C$6:$F$17,MATCH($B41,'Market prices'!$B$6:$B$17,0),MATCH(G$7,'Market prices'!$C$4:$F$4,0))</f>
        <v>64.3</v>
      </c>
      <c r="H41" s="34">
        <f>INDEX('Market prices'!$C$6:$F$17,MATCH($B41,'Market prices'!$B$6:$B$17,0),MATCH(H$7,'Market prices'!$C$4:$F$4,0))</f>
        <v>58.85</v>
      </c>
    </row>
    <row r="42">
      <c r="B42" s="30">
        <f>'Meter data'!B14</f>
        <v>45901</v>
      </c>
      <c r="C42" s="34">
        <f>INDEX('Market prices'!$C$6:$F$17,MATCH($B42,'Market prices'!$B$6:$B$17,0),MATCH(C$7,'Market prices'!$C$4:$F$4,0))</f>
        <v>36.15</v>
      </c>
      <c r="D42" s="34">
        <f>INDEX('Market prices'!$C$6:$F$17,MATCH($B42,'Market prices'!$B$6:$B$17,0),MATCH(D$7,'Market prices'!$C$4:$F$4,0))</f>
        <v>36.15</v>
      </c>
      <c r="E42" s="34">
        <f>INDEX('Market prices'!$C$6:$F$17,MATCH($B42,'Market prices'!$B$6:$B$17,0),MATCH(E$7,'Market prices'!$C$4:$F$4,0))</f>
        <v>38.2</v>
      </c>
      <c r="F42" s="34">
        <f>INDEX('Market prices'!$C$6:$F$17,MATCH($B42,'Market prices'!$B$6:$B$17,0),MATCH(F$7,'Market prices'!$C$4:$F$4,0))</f>
        <v>39.05</v>
      </c>
      <c r="G42" s="34">
        <f>INDEX('Market prices'!$C$6:$F$17,MATCH($B42,'Market prices'!$B$6:$B$17,0),MATCH(G$7,'Market prices'!$C$4:$F$4,0))</f>
        <v>39.85</v>
      </c>
      <c r="H42" s="34">
        <f>INDEX('Market prices'!$C$6:$F$17,MATCH($B42,'Market prices'!$B$6:$B$17,0),MATCH(H$7,'Market prices'!$C$4:$F$4,0))</f>
        <v>38.2</v>
      </c>
    </row>
    <row r="43">
      <c r="B43" s="30">
        <f>'Meter data'!B15</f>
        <v>45931</v>
      </c>
      <c r="C43" s="34">
        <f>INDEX('Market prices'!$C$6:$F$17,MATCH($B43,'Market prices'!$B$6:$B$17,0),MATCH(C$7,'Market prices'!$C$4:$F$4,0))</f>
        <v>27.3</v>
      </c>
      <c r="D43" s="34">
        <f>INDEX('Market prices'!$C$6:$F$17,MATCH($B43,'Market prices'!$B$6:$B$17,0),MATCH(D$7,'Market prices'!$C$4:$F$4,0))</f>
        <v>27.3</v>
      </c>
      <c r="E43" s="34">
        <f>INDEX('Market prices'!$C$6:$F$17,MATCH($B43,'Market prices'!$B$6:$B$17,0),MATCH(E$7,'Market prices'!$C$4:$F$4,0))</f>
        <v>29.45</v>
      </c>
      <c r="F43" s="34">
        <f>INDEX('Market prices'!$C$6:$F$17,MATCH($B43,'Market prices'!$B$6:$B$17,0),MATCH(F$7,'Market prices'!$C$4:$F$4,0))</f>
        <v>30.6</v>
      </c>
      <c r="G43" s="34">
        <f>INDEX('Market prices'!$C$6:$F$17,MATCH($B43,'Market prices'!$B$6:$B$17,0),MATCH(G$7,'Market prices'!$C$4:$F$4,0))</f>
        <v>31.8</v>
      </c>
      <c r="H43" s="34">
        <f>INDEX('Market prices'!$C$6:$F$17,MATCH($B43,'Market prices'!$B$6:$B$17,0),MATCH(H$7,'Market prices'!$C$4:$F$4,0))</f>
        <v>29.45</v>
      </c>
    </row>
    <row r="44">
      <c r="B44" s="30">
        <f>'Meter data'!B16</f>
        <v>45962</v>
      </c>
      <c r="C44" s="34">
        <f>INDEX('Market prices'!$C$6:$F$17,MATCH($B44,'Market prices'!$B$6:$B$17,0),MATCH(C$7,'Market prices'!$C$4:$F$4,0))</f>
        <v>24.9</v>
      </c>
      <c r="D44" s="34">
        <f>INDEX('Market prices'!$C$6:$F$17,MATCH($B44,'Market prices'!$B$6:$B$17,0),MATCH(D$7,'Market prices'!$C$4:$F$4,0))</f>
        <v>24.9</v>
      </c>
      <c r="E44" s="34">
        <f>INDEX('Market prices'!$C$6:$F$17,MATCH($B44,'Market prices'!$B$6:$B$17,0),MATCH(E$7,'Market prices'!$C$4:$F$4,0))</f>
        <v>26.7</v>
      </c>
      <c r="F44" s="34">
        <f>INDEX('Market prices'!$C$6:$F$17,MATCH($B44,'Market prices'!$B$6:$B$17,0),MATCH(F$7,'Market prices'!$C$4:$F$4,0))</f>
        <v>27.95</v>
      </c>
      <c r="G44" s="34">
        <f>INDEX('Market prices'!$C$6:$F$17,MATCH($B44,'Market prices'!$B$6:$B$17,0),MATCH(G$7,'Market prices'!$C$4:$F$4,0))</f>
        <v>28.65</v>
      </c>
      <c r="H44" s="34">
        <f>INDEX('Market prices'!$C$6:$F$17,MATCH($B44,'Market prices'!$B$6:$B$17,0),MATCH(H$7,'Market prices'!$C$4:$F$4,0))</f>
        <v>26.7</v>
      </c>
    </row>
    <row r="45">
      <c r="B45" s="30">
        <f>'Meter data'!B17</f>
        <v>45992</v>
      </c>
      <c r="C45" s="34">
        <f>INDEX('Market prices'!$C$6:$F$17,MATCH($B45,'Market prices'!$B$6:$B$17,0),MATCH(C$7,'Market prices'!$C$4:$F$4,0))</f>
        <v>29.85</v>
      </c>
      <c r="D45" s="34">
        <f>INDEX('Market prices'!$C$6:$F$17,MATCH($B45,'Market prices'!$B$6:$B$17,0),MATCH(D$7,'Market prices'!$C$4:$F$4,0))</f>
        <v>29.85</v>
      </c>
      <c r="E45" s="34">
        <f>INDEX('Market prices'!$C$6:$F$17,MATCH($B45,'Market prices'!$B$6:$B$17,0),MATCH(E$7,'Market prices'!$C$4:$F$4,0))</f>
        <v>31.4</v>
      </c>
      <c r="F45" s="34">
        <f>INDEX('Market prices'!$C$6:$F$17,MATCH($B45,'Market prices'!$B$6:$B$17,0),MATCH(F$7,'Market prices'!$C$4:$F$4,0))</f>
        <v>32.75</v>
      </c>
      <c r="G45" s="34">
        <f>INDEX('Market prices'!$C$6:$F$17,MATCH($B45,'Market prices'!$B$6:$B$17,0),MATCH(G$7,'Market prices'!$C$4:$F$4,0))</f>
        <v>33.9</v>
      </c>
      <c r="H45" s="34">
        <f>INDEX('Market prices'!$C$6:$F$17,MATCH($B45,'Market prices'!$B$6:$B$17,0),MATCH(H$7,'Market prices'!$C$4:$F$4,0))</f>
        <v>31.4</v>
      </c>
    </row>
    <row r="47">
      <c r="B47" s="3" t="inlineStr">
        <is>
          <t>Energy rate ($/MWh): fixed price for Fixed sites, index price plus adder for Index sites</t>
        </is>
      </c>
    </row>
    <row r="48">
      <c r="B48" s="30">
        <f>'Meter data'!B6</f>
        <v>45658</v>
      </c>
      <c r="C48" s="35">
        <f>IF(C$8="Fixed",C$10,C34+C$11)</f>
        <v>36.4</v>
      </c>
      <c r="D48" s="35">
        <f>IF(D$8="Fixed",D$10,D34+D$11)</f>
        <v>31.15</v>
      </c>
      <c r="E48" s="35">
        <f>IF(E$8="Fixed",E$10,E34+E$11)</f>
        <v>41.75</v>
      </c>
      <c r="F48" s="35">
        <f>IF(F$8="Fixed",F$10,F34+F$11)</f>
        <v>34.45</v>
      </c>
      <c r="G48" s="35">
        <f>IF(G$8="Fixed",G$10,G34+G$11)</f>
        <v>43.9</v>
      </c>
      <c r="H48" s="35">
        <f>IF(H$8="Fixed",H$10,H34+H$11)</f>
        <v>32.4</v>
      </c>
    </row>
    <row r="49">
      <c r="B49" s="30">
        <f>'Meter data'!B7</f>
        <v>45689</v>
      </c>
      <c r="C49" s="35">
        <f>IF(C$8="Fixed",C$10,C35+C$11)</f>
        <v>36.4</v>
      </c>
      <c r="D49" s="35">
        <f>IF(D$8="Fixed",D$10,D35+D$11)</f>
        <v>50.35</v>
      </c>
      <c r="E49" s="35">
        <f>IF(E$8="Fixed",E$10,E35+E$11)</f>
        <v>41.75</v>
      </c>
      <c r="F49" s="35">
        <f>IF(F$8="Fixed",F$10,F35+F$11)</f>
        <v>60.199999999999996</v>
      </c>
      <c r="G49" s="35">
        <f>IF(G$8="Fixed",G$10,G35+G$11)</f>
        <v>43.9</v>
      </c>
      <c r="H49" s="35">
        <f>IF(H$8="Fixed",H$10,H35+H$11)</f>
        <v>56.5</v>
      </c>
    </row>
    <row r="50">
      <c r="B50" s="30">
        <f>'Meter data'!B8</f>
        <v>45717</v>
      </c>
      <c r="C50" s="35">
        <f>IF(C$8="Fixed",C$10,C36+C$11)</f>
        <v>36.4</v>
      </c>
      <c r="D50" s="35">
        <f>IF(D$8="Fixed",D$10,D36+D$11)</f>
        <v>27.1</v>
      </c>
      <c r="E50" s="35">
        <f>IF(E$8="Fixed",E$10,E36+E$11)</f>
        <v>41.75</v>
      </c>
      <c r="F50" s="35">
        <f>IF(F$8="Fixed",F$10,F36+F$11)</f>
        <v>30.099999999999998</v>
      </c>
      <c r="G50" s="35">
        <f>IF(G$8="Fixed",G$10,G36+G$11)</f>
        <v>43.9</v>
      </c>
      <c r="H50" s="35">
        <f>IF(H$8="Fixed",H$10,H36+H$11)</f>
        <v>28.15</v>
      </c>
    </row>
    <row r="51">
      <c r="B51" s="30">
        <f>'Meter data'!B9</f>
        <v>45748</v>
      </c>
      <c r="C51" s="35">
        <f>IF(C$8="Fixed",C$10,C37+C$11)</f>
        <v>36.4</v>
      </c>
      <c r="D51" s="35">
        <f>IF(D$8="Fixed",D$10,D37+D$11)</f>
        <v>24.85</v>
      </c>
      <c r="E51" s="35">
        <f>IF(E$8="Fixed",E$10,E37+E$11)</f>
        <v>41.75</v>
      </c>
      <c r="F51" s="35">
        <f>IF(F$8="Fixed",F$10,F37+F$11)</f>
        <v>28.25</v>
      </c>
      <c r="G51" s="35">
        <f>IF(G$8="Fixed",G$10,G37+G$11)</f>
        <v>43.9</v>
      </c>
      <c r="H51" s="35">
        <f>IF(H$8="Fixed",H$10,H37+H$11)</f>
        <v>25.85</v>
      </c>
    </row>
    <row r="52">
      <c r="B52" s="30">
        <f>'Meter data'!B10</f>
        <v>45778</v>
      </c>
      <c r="C52" s="35">
        <f>IF(C$8="Fixed",C$10,C38+C$11)</f>
        <v>36.4</v>
      </c>
      <c r="D52" s="35">
        <f>IF(D$8="Fixed",D$10,D38+D$11)</f>
        <v>29.5</v>
      </c>
      <c r="E52" s="35">
        <f>IF(E$8="Fixed",E$10,E38+E$11)</f>
        <v>41.75</v>
      </c>
      <c r="F52" s="35">
        <f>IF(F$8="Fixed",F$10,F38+F$11)</f>
        <v>33.6</v>
      </c>
      <c r="G52" s="35">
        <f>IF(G$8="Fixed",G$10,G38+G$11)</f>
        <v>43.9</v>
      </c>
      <c r="H52" s="35">
        <f>IF(H$8="Fixed",H$10,H38+H$11)</f>
        <v>30.65</v>
      </c>
    </row>
    <row r="53">
      <c r="B53" s="30">
        <f>'Meter data'!B11</f>
        <v>45809</v>
      </c>
      <c r="C53" s="35">
        <f>IF(C$8="Fixed",C$10,C39+C$11)</f>
        <v>36.4</v>
      </c>
      <c r="D53" s="35">
        <f>IF(D$8="Fixed",D$10,D39+D$11)</f>
        <v>36.55</v>
      </c>
      <c r="E53" s="35">
        <f>IF(E$8="Fixed",E$10,E39+E$11)</f>
        <v>41.75</v>
      </c>
      <c r="F53" s="35">
        <f>IF(F$8="Fixed",F$10,F39+F$11)</f>
        <v>41.5</v>
      </c>
      <c r="G53" s="35">
        <f>IF(G$8="Fixed",G$10,G39+G$11)</f>
        <v>43.9</v>
      </c>
      <c r="H53" s="35">
        <f>IF(H$8="Fixed",H$10,H39+H$11)</f>
        <v>38.5</v>
      </c>
    </row>
    <row r="54">
      <c r="B54" s="30">
        <f>'Meter data'!B12</f>
        <v>45839</v>
      </c>
      <c r="C54" s="35">
        <f>IF(C$8="Fixed",C$10,C40+C$11)</f>
        <v>36.4</v>
      </c>
      <c r="D54" s="35">
        <f>IF(D$8="Fixed",D$10,D40+D$11)</f>
        <v>51.65</v>
      </c>
      <c r="E54" s="35">
        <f>IF(E$8="Fixed",E$10,E40+E$11)</f>
        <v>41.75</v>
      </c>
      <c r="F54" s="35">
        <f>IF(F$8="Fixed",F$10,F40+F$11)</f>
        <v>60.75</v>
      </c>
      <c r="G54" s="35">
        <f>IF(G$8="Fixed",G$10,G40+G$11)</f>
        <v>43.9</v>
      </c>
      <c r="H54" s="35">
        <f>IF(H$8="Fixed",H$10,H40+H$11)</f>
        <v>56.95</v>
      </c>
    </row>
    <row r="55">
      <c r="B55" s="30">
        <f>'Meter data'!B13</f>
        <v>45870</v>
      </c>
      <c r="C55" s="35">
        <f>IF(C$8="Fixed",C$10,C41+C$11)</f>
        <v>36.4</v>
      </c>
      <c r="D55" s="35">
        <f>IF(D$8="Fixed",D$10,D41+D$11)</f>
        <v>55.15</v>
      </c>
      <c r="E55" s="35">
        <f>IF(E$8="Fixed",E$10,E41+E$11)</f>
        <v>41.75</v>
      </c>
      <c r="F55" s="35">
        <f>IF(F$8="Fixed",F$10,F41+F$11)</f>
        <v>65.3</v>
      </c>
      <c r="G55" s="35">
        <f>IF(G$8="Fixed",G$10,G41+G$11)</f>
        <v>43.9</v>
      </c>
      <c r="H55" s="35">
        <f>IF(H$8="Fixed",H$10,H41+H$11)</f>
        <v>61.1</v>
      </c>
    </row>
    <row r="56">
      <c r="B56" s="30">
        <f>'Meter data'!B14</f>
        <v>45901</v>
      </c>
      <c r="C56" s="35">
        <f>IF(C$8="Fixed",C$10,C42+C$11)</f>
        <v>36.4</v>
      </c>
      <c r="D56" s="35">
        <f>IF(D$8="Fixed",D$10,D42+D$11)</f>
        <v>38.9</v>
      </c>
      <c r="E56" s="35">
        <f>IF(E$8="Fixed",E$10,E42+E$11)</f>
        <v>41.75</v>
      </c>
      <c r="F56" s="35">
        <f>IF(F$8="Fixed",F$10,F42+F$11)</f>
        <v>42.449999999999996</v>
      </c>
      <c r="G56" s="35">
        <f>IF(G$8="Fixed",G$10,G42+G$11)</f>
        <v>43.9</v>
      </c>
      <c r="H56" s="35">
        <f>IF(H$8="Fixed",H$10,H42+H$11)</f>
        <v>40.45</v>
      </c>
    </row>
    <row r="57">
      <c r="B57" s="30">
        <f>'Meter data'!B15</f>
        <v>45931</v>
      </c>
      <c r="C57" s="35">
        <f>IF(C$8="Fixed",C$10,C43+C$11)</f>
        <v>36.4</v>
      </c>
      <c r="D57" s="35">
        <f>IF(D$8="Fixed",D$10,D43+D$11)</f>
        <v>30.05</v>
      </c>
      <c r="E57" s="35">
        <f>IF(E$8="Fixed",E$10,E43+E$11)</f>
        <v>41.75</v>
      </c>
      <c r="F57" s="35">
        <f>IF(F$8="Fixed",F$10,F43+F$11)</f>
        <v>34.0</v>
      </c>
      <c r="G57" s="35">
        <f>IF(G$8="Fixed",G$10,G43+G$11)</f>
        <v>43.9</v>
      </c>
      <c r="H57" s="35">
        <f>IF(H$8="Fixed",H$10,H43+H$11)</f>
        <v>31.7</v>
      </c>
    </row>
    <row r="58">
      <c r="B58" s="30">
        <f>'Meter data'!B16</f>
        <v>45962</v>
      </c>
      <c r="C58" s="35">
        <f>IF(C$8="Fixed",C$10,C44+C$11)</f>
        <v>36.4</v>
      </c>
      <c r="D58" s="35">
        <f>IF(D$8="Fixed",D$10,D44+D$11)</f>
        <v>27.65</v>
      </c>
      <c r="E58" s="35">
        <f>IF(E$8="Fixed",E$10,E44+E$11)</f>
        <v>41.75</v>
      </c>
      <c r="F58" s="35">
        <f>IF(F$8="Fixed",F$10,F44+F$11)</f>
        <v>31.349999999999998</v>
      </c>
      <c r="G58" s="35">
        <f>IF(G$8="Fixed",G$10,G44+G$11)</f>
        <v>43.9</v>
      </c>
      <c r="H58" s="35">
        <f>IF(H$8="Fixed",H$10,H44+H$11)</f>
        <v>28.95</v>
      </c>
    </row>
    <row r="59">
      <c r="B59" s="30">
        <f>'Meter data'!B17</f>
        <v>45992</v>
      </c>
      <c r="C59" s="35">
        <f>IF(C$8="Fixed",C$10,C45+C$11)</f>
        <v>36.4</v>
      </c>
      <c r="D59" s="35">
        <f>IF(D$8="Fixed",D$10,D45+D$11)</f>
        <v>32.6</v>
      </c>
      <c r="E59" s="35">
        <f>IF(E$8="Fixed",E$10,E45+E$11)</f>
        <v>41.75</v>
      </c>
      <c r="F59" s="35">
        <f>IF(F$8="Fixed",F$10,F45+F$11)</f>
        <v>36.15</v>
      </c>
      <c r="G59" s="35">
        <f>IF(G$8="Fixed",G$10,G45+G$11)</f>
        <v>43.9</v>
      </c>
      <c r="H59" s="35">
        <f>IF(H$8="Fixed",H$10,H45+H$11)</f>
        <v>33.65</v>
      </c>
    </row>
    <row r="61">
      <c r="B61" s="3" t="inlineStr">
        <is>
          <t>Expected cost ($): metered MWh x (energy rate + delivery charge) + fixed monthly charges</t>
        </is>
      </c>
    </row>
    <row r="62">
      <c r="B62" s="30">
        <f>'Meter data'!B6</f>
        <v>45658</v>
      </c>
      <c r="C62" s="27">
        <f>C19*(C48+C$12)+C$13</f>
        <v>3786245.0</v>
      </c>
      <c r="D62" s="27">
        <f>D19*(D48+D$12)+D$13</f>
        <v>2109258.0</v>
      </c>
      <c r="E62" s="27">
        <f>E19*(E48+E$12)+E$13</f>
        <v>1801950.1500000001</v>
      </c>
      <c r="F62" s="27">
        <f>F19*(F48+F$12)+F$13</f>
        <v>2677715.25</v>
      </c>
      <c r="G62" s="27">
        <f>G19*(G48+G$12)+G$13</f>
        <v>908188.6</v>
      </c>
      <c r="H62" s="27">
        <f>H19*(H48+H$12)+H$13</f>
        <v>2605469.1</v>
      </c>
      <c r="I62" s="27">
        <f>SUM(C62:H62)</f>
        <v>13888826.1</v>
      </c>
    </row>
    <row r="63">
      <c r="B63" s="30">
        <f>'Meter data'!B7</f>
        <v>45689</v>
      </c>
      <c r="C63" s="27">
        <f>C20*(C49+C$12)+C$13</f>
        <v>3301220.75</v>
      </c>
      <c r="D63" s="27">
        <f>D20*(D49+D$12)+D$13</f>
        <v>2639167.0</v>
      </c>
      <c r="E63" s="27">
        <f>E20*(E49+E$12)+E$13</f>
        <v>1590299.1</v>
      </c>
      <c r="F63" s="27">
        <f>F20*(F49+F$12)+F$13</f>
        <v>3668649.0</v>
      </c>
      <c r="G63" s="27">
        <f>G20*(G49+G$12)+G$13</f>
        <v>786694.5</v>
      </c>
      <c r="H63" s="27">
        <f>H20*(H49+H$12)+H$13</f>
        <v>3543219.5</v>
      </c>
      <c r="I63" s="27">
        <f>SUM(C63:H63)</f>
        <v>15529249.85</v>
      </c>
    </row>
    <row r="64">
      <c r="B64" s="30">
        <f>'Meter data'!B8</f>
        <v>45717</v>
      </c>
      <c r="C64" s="27">
        <f>C21*(C50+C$12)+C$13</f>
        <v>3867443.75</v>
      </c>
      <c r="D64" s="27">
        <f>D21*(D50+D$12)+D$13</f>
        <v>1912589.4000000001</v>
      </c>
      <c r="E64" s="27">
        <f>E21*(E50+E$12)+E$13</f>
        <v>1848018.1500000001</v>
      </c>
      <c r="F64" s="27">
        <f>F21*(F50+F$12)+F$13</f>
        <v>2469264.0</v>
      </c>
      <c r="G64" s="27">
        <f>G21*(G50+G$12)+G$13</f>
        <v>918197.8999999999</v>
      </c>
      <c r="H64" s="27">
        <f>H21*(H50+H$12)+H$13</f>
        <v>2354248.6999999997</v>
      </c>
      <c r="I64" s="27">
        <f>SUM(C64:H64)</f>
        <v>13369761.9</v>
      </c>
    </row>
    <row r="65">
      <c r="B65" s="30">
        <f>'Meter data'!B9</f>
        <v>45748</v>
      </c>
      <c r="C65" s="27">
        <f>C22*(C51+C$12)+C$13</f>
        <v>3709338.5</v>
      </c>
      <c r="D65" s="27">
        <f>D22*(D51+D$12)+D$13</f>
        <v>1766357.7500000002</v>
      </c>
      <c r="E65" s="27">
        <f>E22*(E51+E$12)+E$13</f>
        <v>1772267.7</v>
      </c>
      <c r="F65" s="27">
        <f>F22*(F51+F$12)+F$13</f>
        <v>2280834.4</v>
      </c>
      <c r="G65" s="27">
        <f>G22*(G51+G$12)+G$13</f>
        <v>891322.1</v>
      </c>
      <c r="H65" s="27">
        <f>H22*(H51+H$12)+H$13</f>
        <v>2141267.6</v>
      </c>
      <c r="I65" s="27">
        <f>SUM(C65:H65)</f>
        <v>12561388.05</v>
      </c>
    </row>
    <row r="66">
      <c r="B66" s="30">
        <f>'Meter data'!B10</f>
        <v>45778</v>
      </c>
      <c r="C66" s="27">
        <f>C23*(C52+C$12)+C$13</f>
        <v>3831689.75</v>
      </c>
      <c r="D66" s="27">
        <f>D23*(D52+D$12)+D$13</f>
        <v>2034218.2000000002</v>
      </c>
      <c r="E66" s="27">
        <f>E23*(E52+E$12)+E$13</f>
        <v>1828701.0</v>
      </c>
      <c r="F66" s="27">
        <f>F23*(F52+F$12)+F$13</f>
        <v>2707733.5000000005</v>
      </c>
      <c r="G66" s="27">
        <f>G23*(G52+G$12)+G$13</f>
        <v>915654.1</v>
      </c>
      <c r="H66" s="27">
        <f>H23*(H52+H$12)+H$13</f>
        <v>2513251.0</v>
      </c>
      <c r="I66" s="27">
        <f>SUM(C66:H66)</f>
        <v>13831247.55</v>
      </c>
    </row>
    <row r="67">
      <c r="B67" s="30">
        <f>'Meter data'!B11</f>
        <v>45809</v>
      </c>
      <c r="C67" s="27">
        <f>C24*(C53+C$12)+C$13</f>
        <v>3603492.5</v>
      </c>
      <c r="D67" s="27">
        <f>D24*(D53+D$12)+D$13</f>
        <v>2272764.4499999997</v>
      </c>
      <c r="E67" s="27">
        <f>E24*(E53+E$12)+E$13</f>
        <v>1721854.6500000001</v>
      </c>
      <c r="F67" s="27">
        <f>F24*(F53+F$12)+F$13</f>
        <v>2998618.1999999997</v>
      </c>
      <c r="G67" s="27">
        <f>G24*(G53+G$12)+G$13</f>
        <v>875727.5</v>
      </c>
      <c r="H67" s="27">
        <f>H24*(H53+H$12)+H$13</f>
        <v>2863850.0</v>
      </c>
      <c r="I67" s="27">
        <f>SUM(C67:H67)</f>
        <v>14336307.299999999</v>
      </c>
    </row>
    <row r="68">
      <c r="B68" s="30">
        <f>'Meter data'!B12</f>
        <v>45839</v>
      </c>
      <c r="C68" s="27">
        <f>C25*(C54+C$12)+C$13</f>
        <v>3595350.5</v>
      </c>
      <c r="D68" s="27">
        <f>D25*(D54+D$12)+D$13</f>
        <v>2870372.25</v>
      </c>
      <c r="E68" s="27">
        <f>E25*(E54+E$12)+E$13</f>
        <v>1744051.05</v>
      </c>
      <c r="F68" s="27">
        <f>F25*(F54+F$12)+F$13</f>
        <v>3947154.1999999997</v>
      </c>
      <c r="G68" s="27">
        <f>G25*(G54+G$12)+G$13</f>
        <v>873404.8999999999</v>
      </c>
      <c r="H68" s="27">
        <f>H25*(H54+H$12)+H$13</f>
        <v>3859378.9000000004</v>
      </c>
      <c r="I68" s="27">
        <f>SUM(C68:H68)</f>
        <v>16889711.8</v>
      </c>
    </row>
    <row r="69">
      <c r="B69" s="30">
        <f>'Meter data'!B13</f>
        <v>45870</v>
      </c>
      <c r="C69" s="27">
        <f>C26*(C55+C$12)+C$13</f>
        <v>3593624.75</v>
      </c>
      <c r="D69" s="27">
        <f>D26*(D55+D$12)+D$13</f>
        <v>2968039.75</v>
      </c>
      <c r="E69" s="27">
        <f>E26*(E55+E$12)+E$13</f>
        <v>1699448.85</v>
      </c>
      <c r="F69" s="27">
        <f>F26*(F55+F$12)+F$13</f>
        <v>4139043.1999999997</v>
      </c>
      <c r="G69" s="27">
        <f>G26*(G55+G$12)+G$13</f>
        <v>851174.2999999999</v>
      </c>
      <c r="H69" s="27">
        <f>H26*(H55+H$12)+H$13</f>
        <v>3993639.9999999995</v>
      </c>
      <c r="I69" s="27">
        <f>SUM(C69:H69)</f>
        <v>17244970.849999998</v>
      </c>
    </row>
    <row r="70">
      <c r="B70" s="30">
        <f>'Meter data'!B14</f>
        <v>45901</v>
      </c>
      <c r="C70" s="27">
        <f>C27*(C56+C$12)+C$13</f>
        <v>3631414.25</v>
      </c>
      <c r="D70" s="27">
        <f>D27*(D56+D$12)+D$13</f>
        <v>2331048.0</v>
      </c>
      <c r="E70" s="27">
        <f>E27*(E56+E$12)+E$13</f>
        <v>1716148.5</v>
      </c>
      <c r="F70" s="27">
        <f>F27*(F56+F$12)+F$13</f>
        <v>2981960.5</v>
      </c>
      <c r="G70" s="27">
        <f>G27*(G56+G$12)+G$13</f>
        <v>866050.0</v>
      </c>
      <c r="H70" s="27">
        <f>H27*(H56+H$12)+H$13</f>
        <v>2935557.6</v>
      </c>
      <c r="I70" s="27">
        <f>SUM(C70:H70)</f>
        <v>14462178.85</v>
      </c>
    </row>
    <row r="71">
      <c r="B71" s="30">
        <f>'Meter data'!B15</f>
        <v>45931</v>
      </c>
      <c r="C71" s="27">
        <f>C28*(C57+C$12)+C$13</f>
        <v>3868019.0</v>
      </c>
      <c r="D71" s="27">
        <f>D28*(D57+D$12)+D$13</f>
        <v>2062568.7</v>
      </c>
      <c r="E71" s="27">
        <f>E28*(E57+E$12)+E$13</f>
        <v>1839903.9000000001</v>
      </c>
      <c r="F71" s="27">
        <f>F28*(F57+F$12)+F$13</f>
        <v>2732050.5</v>
      </c>
      <c r="G71" s="27">
        <f>G28*(G57+G$12)+G$13</f>
        <v>917202.5</v>
      </c>
      <c r="H71" s="27">
        <f>H28*(H57+H$12)+H$13</f>
        <v>2586856.1500000004</v>
      </c>
      <c r="I71" s="27">
        <f>SUM(C71:H71)</f>
        <v>14006600.75</v>
      </c>
    </row>
    <row r="72">
      <c r="B72" s="30">
        <f>'Meter data'!B16</f>
        <v>45962</v>
      </c>
      <c r="C72" s="27">
        <f>C29*(C58+C$12)+C$13</f>
        <v>3684691.25</v>
      </c>
      <c r="D72" s="27">
        <f>D29*(D58+D$12)+D$13</f>
        <v>1886700.0</v>
      </c>
      <c r="E72" s="27">
        <f>E29*(E58+E$12)+E$13</f>
        <v>1760227.2</v>
      </c>
      <c r="F72" s="27">
        <f>F29*(F58+F$12)+F$13</f>
        <v>2466154.3</v>
      </c>
      <c r="G72" s="27">
        <f>G29*(G58+G$12)+G$13</f>
        <v>891322.1</v>
      </c>
      <c r="H72" s="27">
        <f>H29*(H58+H$12)+H$13</f>
        <v>2350807.5</v>
      </c>
      <c r="I72" s="27">
        <f>SUM(C72:H72)</f>
        <v>13039902.35</v>
      </c>
    </row>
    <row r="73">
      <c r="B73" s="30">
        <f>'Meter data'!B17</f>
        <v>45992</v>
      </c>
      <c r="C73" s="27">
        <f>C30*(C59+C$12)+C$13</f>
        <v>3764828.0</v>
      </c>
      <c r="D73" s="27">
        <f>D30*(D59+D$12)+D$13</f>
        <v>2166641.1</v>
      </c>
      <c r="E73" s="27">
        <f>E30*(E59+E$12)+E$13</f>
        <v>1809383.85</v>
      </c>
      <c r="F73" s="27">
        <f>F30*(F59+F$12)+F$13</f>
        <v>2816037.4000000004</v>
      </c>
      <c r="G73" s="27">
        <f>G30*(G59+G$12)+G$13</f>
        <v>902769.2</v>
      </c>
      <c r="H73" s="27">
        <f>H30*(H59+H$12)+H$13</f>
        <v>2702124.8</v>
      </c>
      <c r="I73" s="27">
        <f>SUM(C73:H73)</f>
        <v>14161784.35</v>
      </c>
    </row>
    <row r="74">
      <c r="B74" s="32" t="inlineStr">
        <is>
          <t>Full year</t>
        </is>
      </c>
      <c r="C74" s="36">
        <f>SUM(C62:C73)</f>
        <v>44237358.0</v>
      </c>
      <c r="D74" s="36">
        <f>SUM(D62:D73)</f>
        <v>27019724.6</v>
      </c>
      <c r="E74" s="36">
        <f>SUM(E62:E73)</f>
        <v>21132254.1</v>
      </c>
      <c r="F74" s="36">
        <f>SUM(F62:F73)</f>
        <v>35885214.45</v>
      </c>
      <c r="G74" s="36">
        <f>SUM(G62:G73)</f>
        <v>10597707.7</v>
      </c>
      <c r="H74" s="36">
        <f>SUM(H62:H73)</f>
        <v>34449670.85</v>
      </c>
      <c r="I74" s="36">
        <f>SUM(I62:I73)</f>
        <v>173321929.7</v>
      </c>
    </row>
    <row r="76">
      <c r="B76" s="20" t="inlineStr">
        <is>
          <t>Invoices</t>
        </is>
      </c>
      <c r="C76" s="21" t="n"/>
      <c r="D76" s="21" t="n"/>
      <c r="E76" s="21" t="n"/>
      <c r="F76" s="21" t="n"/>
      <c r="G76" s="21" t="n"/>
      <c r="H76" s="21" t="n"/>
      <c r="I76" s="21" t="n"/>
    </row>
    <row r="77">
      <c r="B77" s="3" t="inlineStr">
        <is>
          <t>Invoiced energy (MWh), from Invoices</t>
        </is>
      </c>
    </row>
    <row r="78">
      <c r="B78" s="30">
        <f>'Meter data'!B6</f>
        <v>45658</v>
      </c>
      <c r="C78" s="31">
        <f>Invoices!C6</f>
        <v>84902</v>
      </c>
      <c r="D78" s="31">
        <f>Invoices!D6</f>
        <v>52076</v>
      </c>
      <c r="E78" s="31">
        <f>Invoices!E6</f>
        <v>34149</v>
      </c>
      <c r="F78" s="31">
        <f>Invoices!F6</f>
        <v>61991</v>
      </c>
      <c r="G78" s="31">
        <f>Invoices!G6</f>
        <v>16262</v>
      </c>
      <c r="H78" s="31">
        <f>Invoices!H6</f>
        <v>65754</v>
      </c>
      <c r="I78" s="29">
        <f>SUM(C78:H78)</f>
        <v>315134</v>
      </c>
    </row>
    <row r="79">
      <c r="B79" s="30">
        <f>'Meter data'!B7</f>
        <v>45689</v>
      </c>
      <c r="C79" s="31">
        <f>Invoices!C7</f>
        <v>73779</v>
      </c>
      <c r="D79" s="31">
        <f>Invoices!D7</f>
        <v>44211</v>
      </c>
      <c r="E79" s="31">
        <f>Invoices!E7</f>
        <v>30106</v>
      </c>
      <c r="F79" s="31">
        <f>Invoices!F7</f>
        <v>53052</v>
      </c>
      <c r="G79" s="31">
        <f>Invoices!G7</f>
        <v>14065</v>
      </c>
      <c r="H79" s="31">
        <f>Invoices!H7</f>
        <v>55526</v>
      </c>
      <c r="I79" s="29">
        <f>SUM(C79:H79)</f>
        <v>270739</v>
      </c>
    </row>
    <row r="80">
      <c r="B80" s="30">
        <f>'Meter data'!B8</f>
        <v>45717</v>
      </c>
      <c r="C80" s="31">
        <f>Invoices!C8</f>
        <v>86575</v>
      </c>
      <c r="D80" s="31">
        <f>Invoices!D8</f>
        <v>52215</v>
      </c>
      <c r="E80" s="31">
        <f>Invoices!E8</f>
        <v>35133</v>
      </c>
      <c r="F80" s="31">
        <f>Invoices!F8</f>
        <v>63588</v>
      </c>
      <c r="G80" s="31">
        <f>Invoices!G8</f>
        <v>16443</v>
      </c>
      <c r="H80" s="31">
        <f>Invoices!H8</f>
        <v>66542</v>
      </c>
      <c r="I80" s="29">
        <f>SUM(C80:H80)</f>
        <v>320496</v>
      </c>
    </row>
    <row r="81">
      <c r="B81" s="30">
        <f>'Meter data'!B9</f>
        <v>45748</v>
      </c>
      <c r="C81" s="31">
        <f>Invoices!C9</f>
        <v>83272</v>
      </c>
      <c r="D81" s="31">
        <f>Invoices!D9</f>
        <v>51445</v>
      </c>
      <c r="E81" s="31">
        <f>Invoices!E9</f>
        <v>33644</v>
      </c>
      <c r="F81" s="31">
        <f>Invoices!F9</f>
        <v>61648</v>
      </c>
      <c r="G81" s="31">
        <f>Invoices!G9</f>
        <v>15956</v>
      </c>
      <c r="H81" s="31">
        <f>Invoices!H9</f>
        <v>64677</v>
      </c>
      <c r="I81" s="29">
        <f>SUM(C81:H81)</f>
        <v>310642</v>
      </c>
    </row>
    <row r="82">
      <c r="B82" s="30">
        <f>'Meter data'!B10</f>
        <v>45778</v>
      </c>
      <c r="C82" s="31">
        <f>Invoices!C10</f>
        <v>85811</v>
      </c>
      <c r="D82" s="31">
        <f>Invoices!D10</f>
        <v>52216</v>
      </c>
      <c r="E82" s="31">
        <f>Invoices!E10</f>
        <v>34660</v>
      </c>
      <c r="F82" s="31">
        <f>Invoices!F10</f>
        <v>67698</v>
      </c>
      <c r="G82" s="31">
        <f>Invoices!G10</f>
        <v>16422</v>
      </c>
      <c r="H82" s="31">
        <f>Invoices!H10</f>
        <v>66365</v>
      </c>
      <c r="I82" s="29">
        <f>SUM(C82:H82)</f>
        <v>323172</v>
      </c>
    </row>
    <row r="83">
      <c r="B83" s="30">
        <f>'Meter data'!B11</f>
        <v>45809</v>
      </c>
      <c r="C83" s="31">
        <f>Invoices!C11</f>
        <v>80698</v>
      </c>
      <c r="D83" s="31">
        <f>Invoices!D11</f>
        <v>49353</v>
      </c>
      <c r="E83" s="31">
        <f>Invoices!E11</f>
        <v>32523</v>
      </c>
      <c r="F83" s="31">
        <f>Invoices!F11</f>
        <v>63658</v>
      </c>
      <c r="G83" s="31">
        <f>Invoices!G11</f>
        <v>15704</v>
      </c>
      <c r="H83" s="31">
        <f>Invoices!H11</f>
        <v>62588</v>
      </c>
      <c r="I83" s="29">
        <f>SUM(C83:H83)</f>
        <v>304524</v>
      </c>
    </row>
    <row r="84">
      <c r="B84" s="30">
        <f>'Meter data'!B12</f>
        <v>45839</v>
      </c>
      <c r="C84" s="31">
        <f>Invoices!C12</f>
        <v>80426</v>
      </c>
      <c r="D84" s="31">
        <f>Invoices!D12</f>
        <v>46927</v>
      </c>
      <c r="E84" s="31">
        <f>Invoices!E12</f>
        <v>33043</v>
      </c>
      <c r="F84" s="31">
        <f>Invoices!F12</f>
        <v>59916</v>
      </c>
      <c r="G84" s="31">
        <f>Invoices!G12</f>
        <v>15627</v>
      </c>
      <c r="H84" s="31">
        <f>Invoices!H12</f>
        <v>60097</v>
      </c>
      <c r="I84" s="29">
        <f>SUM(C84:H84)</f>
        <v>296036</v>
      </c>
    </row>
    <row r="85">
      <c r="B85" s="30">
        <f>'Meter data'!B13</f>
        <v>45870</v>
      </c>
      <c r="C85" s="31">
        <f>Invoices!C13</f>
        <v>80156</v>
      </c>
      <c r="D85" s="31">
        <f>Invoices!D13</f>
        <v>45945</v>
      </c>
      <c r="E85" s="31">
        <f>Invoices!E13</f>
        <v>32095</v>
      </c>
      <c r="F85" s="31">
        <f>Invoices!F13</f>
        <v>59516</v>
      </c>
      <c r="G85" s="31">
        <f>Invoices!G13</f>
        <v>15231</v>
      </c>
      <c r="H85" s="31">
        <f>Invoices!H13</f>
        <v>58400</v>
      </c>
      <c r="I85" s="29">
        <f>SUM(C85:H85)</f>
        <v>291343</v>
      </c>
    </row>
    <row r="86">
      <c r="B86" s="30">
        <f>'Meter data'!B14</f>
        <v>45901</v>
      </c>
      <c r="C86" s="31">
        <f>Invoices!C14</f>
        <v>81466</v>
      </c>
      <c r="D86" s="31">
        <f>Invoices!D14</f>
        <v>48151</v>
      </c>
      <c r="E86" s="31">
        <f>Invoices!E14</f>
        <v>32510</v>
      </c>
      <c r="F86" s="31">
        <f>Invoices!F14</f>
        <v>62148</v>
      </c>
      <c r="G86" s="31">
        <f>Invoices!G14</f>
        <v>15500</v>
      </c>
      <c r="H86" s="31">
        <f>Invoices!H14</f>
        <v>61533</v>
      </c>
      <c r="I86" s="29">
        <f>SUM(C86:H86)</f>
        <v>301308</v>
      </c>
    </row>
    <row r="87">
      <c r="B87" s="30">
        <f>'Meter data'!B15</f>
        <v>45931</v>
      </c>
      <c r="C87" s="31">
        <f>Invoices!C15</f>
        <v>86830</v>
      </c>
      <c r="D87" s="31">
        <f>Invoices!D15</f>
        <v>52315</v>
      </c>
      <c r="E87" s="31">
        <f>Invoices!E15</f>
        <v>34804</v>
      </c>
      <c r="F87" s="31">
        <f>Invoices!F15</f>
        <v>67685</v>
      </c>
      <c r="G87" s="31">
        <f>Invoices!G15</f>
        <v>16425</v>
      </c>
      <c r="H87" s="31">
        <f>Invoices!H15</f>
        <v>66467</v>
      </c>
      <c r="I87" s="29">
        <f>SUM(C87:H87)</f>
        <v>324526</v>
      </c>
    </row>
    <row r="88">
      <c r="B88" s="30">
        <f>'Meter data'!B16</f>
        <v>45962</v>
      </c>
      <c r="C88" s="31">
        <f>Invoices!C16</f>
        <v>82275</v>
      </c>
      <c r="D88" s="31">
        <f>Invoices!D16</f>
        <v>50776</v>
      </c>
      <c r="E88" s="31">
        <f>Invoices!E16</f>
        <v>33411</v>
      </c>
      <c r="F88" s="31">
        <f>Invoices!F16</f>
        <v>65108</v>
      </c>
      <c r="G88" s="31">
        <f>Invoices!G16</f>
        <v>15930</v>
      </c>
      <c r="H88" s="31">
        <f>Invoices!H16</f>
        <v>64914</v>
      </c>
      <c r="I88" s="29">
        <f>SUM(C88:H88)</f>
        <v>312414</v>
      </c>
    </row>
    <row r="89">
      <c r="B89" s="30">
        <f>'Meter data'!B17</f>
        <v>45992</v>
      </c>
      <c r="C89" s="31">
        <f>Invoices!C17</f>
        <v>84293</v>
      </c>
      <c r="D89" s="31">
        <f>Invoices!D17</f>
        <v>51377</v>
      </c>
      <c r="E89" s="31">
        <f>Invoices!E17</f>
        <v>34341</v>
      </c>
      <c r="F89" s="31">
        <f>Invoices!F17</f>
        <v>66866</v>
      </c>
      <c r="G89" s="31">
        <f>Invoices!G17</f>
        <v>16177</v>
      </c>
      <c r="H89" s="31">
        <f>Invoices!H17</f>
        <v>66231</v>
      </c>
      <c r="I89" s="29">
        <f>SUM(C89:H89)</f>
        <v>319285</v>
      </c>
    </row>
    <row r="90">
      <c r="B90" s="32" t="inlineStr">
        <is>
          <t>Full year</t>
        </is>
      </c>
      <c r="C90" s="33">
        <f>SUM(C78:C89)</f>
        <v>990483</v>
      </c>
      <c r="D90" s="33">
        <f>SUM(D78:D89)</f>
        <v>597007</v>
      </c>
      <c r="E90" s="33">
        <f>SUM(E78:E89)</f>
        <v>400419</v>
      </c>
      <c r="F90" s="33">
        <f>SUM(F78:F89)</f>
        <v>752874</v>
      </c>
      <c r="G90" s="33">
        <f>SUM(G78:G89)</f>
        <v>189742</v>
      </c>
      <c r="H90" s="33">
        <f>SUM(H78:H89)</f>
        <v>759094</v>
      </c>
      <c r="I90" s="33">
        <f>SUM(I78:I89)</f>
        <v>3689619</v>
      </c>
    </row>
    <row r="92">
      <c r="B92" s="3" t="inlineStr">
        <is>
          <t>Invoiced amount ($), from Invoices</t>
        </is>
      </c>
    </row>
    <row r="93">
      <c r="B93" s="30">
        <f>'Meter data'!B6</f>
        <v>45658</v>
      </c>
      <c r="C93" s="37">
        <f>Invoices!C20</f>
        <v>3793719.73</v>
      </c>
      <c r="D93" s="37">
        <f>Invoices!D20</f>
        <v>2112462.13</v>
      </c>
      <c r="E93" s="37">
        <f>Invoices!E20</f>
        <v>1802889.96</v>
      </c>
      <c r="F93" s="37">
        <f>Invoices!F20</f>
        <v>2676785.08</v>
      </c>
      <c r="G93" s="37">
        <f>Invoices!G20</f>
        <v>907385.74</v>
      </c>
      <c r="H93" s="37">
        <f>Invoices!H20</f>
        <v>2603858.52</v>
      </c>
      <c r="I93" s="27">
        <f>SUM(C93:H93)</f>
        <v>13897101.16</v>
      </c>
    </row>
    <row r="94">
      <c r="B94" s="30">
        <f>'Meter data'!B7</f>
        <v>45689</v>
      </c>
      <c r="C94" s="37">
        <f>Invoices!C21</f>
        <v>3309020.96</v>
      </c>
      <c r="D94" s="37">
        <f>Invoices!D21</f>
        <v>2644484.18</v>
      </c>
      <c r="E94" s="37">
        <f>Invoices!E21</f>
        <v>1588294.6</v>
      </c>
      <c r="F94" s="37">
        <f>Invoices!F21</f>
        <v>3659493.97</v>
      </c>
      <c r="G94" s="37">
        <f>Invoices!G21</f>
        <v>785435.2</v>
      </c>
      <c r="H94" s="37">
        <f>Invoices!H21</f>
        <v>3545395.01</v>
      </c>
      <c r="I94" s="27">
        <f>SUM(C94:H94)</f>
        <v>15532123.92</v>
      </c>
    </row>
    <row r="95">
      <c r="B95" s="30">
        <f>'Meter data'!B8</f>
        <v>45717</v>
      </c>
      <c r="C95" s="37">
        <f>Invoices!C22</f>
        <v>3870499.65</v>
      </c>
      <c r="D95" s="37">
        <f>Invoices!D22</f>
        <v>1907735.78</v>
      </c>
      <c r="E95" s="37">
        <f>Invoices!E22</f>
        <v>1855149.11</v>
      </c>
      <c r="F95" s="37">
        <f>Invoices!F22</f>
        <v>2464267.83</v>
      </c>
      <c r="G95" s="37">
        <f>Invoices!G22</f>
        <v>916571.77</v>
      </c>
      <c r="H95" s="37">
        <f>Invoices!H22</f>
        <v>2349415.11</v>
      </c>
      <c r="I95" s="27">
        <f>SUM(C95:H95)</f>
        <v>13363639.25</v>
      </c>
    </row>
    <row r="96">
      <c r="B96" s="30">
        <f>'Meter data'!B9</f>
        <v>45748</v>
      </c>
      <c r="C96" s="37">
        <f>Invoices!C23</f>
        <v>3725369.4</v>
      </c>
      <c r="D96" s="37">
        <f>Invoices!D23</f>
        <v>1763886.24</v>
      </c>
      <c r="E96" s="37">
        <f>Invoices!E23</f>
        <v>1776813.83</v>
      </c>
      <c r="F96" s="37">
        <f>Invoices!F23</f>
        <v>2279152.11</v>
      </c>
      <c r="G96" s="37">
        <f>Invoices!G23</f>
        <v>892359.18</v>
      </c>
      <c r="H96" s="37">
        <f>Invoices!H23</f>
        <v>2141966.39</v>
      </c>
      <c r="I96" s="27">
        <f>SUM(C96:H96)</f>
        <v>12579547.15</v>
      </c>
    </row>
    <row r="97">
      <c r="B97" s="30">
        <f>'Meter data'!B10</f>
        <v>45778</v>
      </c>
      <c r="C97" s="37">
        <f>Invoices!C24</f>
        <v>3842080.6</v>
      </c>
      <c r="D97" s="37">
        <f>Invoices!D24</f>
        <v>2032752.68</v>
      </c>
      <c r="E97" s="37">
        <f>Invoices!E24</f>
        <v>1832850.33</v>
      </c>
      <c r="F97" s="37">
        <f>Invoices!F24</f>
        <v>2859152.56</v>
      </c>
      <c r="G97" s="37">
        <f>Invoices!G24</f>
        <v>915550.32</v>
      </c>
      <c r="H97" s="37">
        <f>Invoices!H24</f>
        <v>2513893.06</v>
      </c>
      <c r="I97" s="27">
        <f>SUM(C97:H97)</f>
        <v>13996279.55</v>
      </c>
    </row>
    <row r="98">
      <c r="B98" s="30">
        <f>'Meter data'!B11</f>
        <v>45809</v>
      </c>
      <c r="C98" s="37">
        <f>Invoices!C25</f>
        <v>3604156.74</v>
      </c>
      <c r="D98" s="37">
        <f>Invoices!D25</f>
        <v>2267962.11</v>
      </c>
      <c r="E98" s="37">
        <f>Invoices!E25</f>
        <v>1716745.82</v>
      </c>
      <c r="F98" s="37">
        <f>Invoices!F25</f>
        <v>3201016.97</v>
      </c>
      <c r="G98" s="37">
        <f>Invoices!G25</f>
        <v>876802.9</v>
      </c>
      <c r="H98" s="37">
        <f>Invoices!H25</f>
        <v>2856715.88</v>
      </c>
      <c r="I98" s="27">
        <f>SUM(C98:H98)</f>
        <v>14523400.42</v>
      </c>
    </row>
    <row r="99">
      <c r="B99" s="30">
        <f>'Meter data'!B12</f>
        <v>45839</v>
      </c>
      <c r="C99" s="37">
        <f>Invoices!C26</f>
        <v>3603671.65</v>
      </c>
      <c r="D99" s="37">
        <f>Invoices!D26</f>
        <v>2871805.37</v>
      </c>
      <c r="E99" s="37">
        <f>Invoices!E26</f>
        <v>1741646.66</v>
      </c>
      <c r="F99" s="37">
        <f>Invoices!F26</f>
        <v>4164821.7</v>
      </c>
      <c r="G99" s="37">
        <f>Invoices!G26</f>
        <v>872445.62</v>
      </c>
      <c r="H99" s="37">
        <f>Invoices!H26</f>
        <v>3855770.47</v>
      </c>
      <c r="I99" s="27">
        <f>SUM(C99:H99)</f>
        <v>17110161.47</v>
      </c>
    </row>
    <row r="100">
      <c r="B100" s="30">
        <f>'Meter data'!B13</f>
        <v>45870</v>
      </c>
      <c r="C100" s="37">
        <f>Invoices!C27</f>
        <v>3577711.31</v>
      </c>
      <c r="D100" s="37">
        <f>Invoices!D27</f>
        <v>2964512.69</v>
      </c>
      <c r="E100" s="37">
        <f>Invoices!E27</f>
        <v>1690345.03</v>
      </c>
      <c r="F100" s="37">
        <f>Invoices!F27</f>
        <v>4403835.68</v>
      </c>
      <c r="G100" s="37">
        <f>Invoices!G27</f>
        <v>852395.08</v>
      </c>
      <c r="H100" s="37">
        <f>Invoices!H27</f>
        <v>3985775.38</v>
      </c>
      <c r="I100" s="27">
        <f>SUM(C100:H100)</f>
        <v>17474575.169999998</v>
      </c>
    </row>
    <row r="101">
      <c r="B101" s="30">
        <f>'Meter data'!B14</f>
        <v>45901</v>
      </c>
      <c r="C101" s="37">
        <f>Invoices!C28</f>
        <v>3647308.64</v>
      </c>
      <c r="D101" s="37">
        <f>Invoices!D28</f>
        <v>2334016.18</v>
      </c>
      <c r="E101" s="37">
        <f>Invoices!E28</f>
        <v>1720161.26</v>
      </c>
      <c r="F101" s="37">
        <f>Invoices!F28</f>
        <v>3174590.87</v>
      </c>
      <c r="G101" s="37">
        <f>Invoices!G28</f>
        <v>867760.31</v>
      </c>
      <c r="H101" s="37">
        <f>Invoices!H28</f>
        <v>2933588.31</v>
      </c>
      <c r="I101" s="27">
        <f>SUM(C101:H101)</f>
        <v>14677425.57</v>
      </c>
    </row>
    <row r="102">
      <c r="B102" s="30">
        <f>'Meter data'!B15</f>
        <v>45931</v>
      </c>
      <c r="C102" s="37">
        <f>Invoices!C29</f>
        <v>3873122.01</v>
      </c>
      <c r="D102" s="37">
        <f>Invoices!D29</f>
        <v>2063778.92</v>
      </c>
      <c r="E102" s="37">
        <f>Invoices!E29</f>
        <v>1832761.65</v>
      </c>
      <c r="F102" s="37">
        <f>Invoices!F29</f>
        <v>2883532.52</v>
      </c>
      <c r="G102" s="37">
        <f>Invoices!G29</f>
        <v>916867.68</v>
      </c>
      <c r="H102" s="37">
        <f>Invoices!H29</f>
        <v>2585699.39</v>
      </c>
      <c r="I102" s="27">
        <f>SUM(C102:H102)</f>
        <v>14155762.17</v>
      </c>
    </row>
    <row r="103">
      <c r="B103" s="30">
        <f>'Meter data'!B16</f>
        <v>45962</v>
      </c>
      <c r="C103" s="37">
        <f>Invoices!C30</f>
        <v>3671121.66</v>
      </c>
      <c r="D103" s="37">
        <f>Invoices!D30</f>
        <v>1890315.15</v>
      </c>
      <c r="E103" s="37">
        <f>Invoices!E30</f>
        <v>1762494.89</v>
      </c>
      <c r="F103" s="37">
        <f>Invoices!F30</f>
        <v>2604711.46</v>
      </c>
      <c r="G103" s="37">
        <f>Invoices!G30</f>
        <v>891567.76</v>
      </c>
      <c r="H103" s="37">
        <f>Invoices!H30</f>
        <v>2344530.82</v>
      </c>
      <c r="I103" s="27">
        <f>SUM(C103:H103)</f>
        <v>13164741.74</v>
      </c>
    </row>
    <row r="104">
      <c r="B104" s="30">
        <f>'Meter data'!B17</f>
        <v>45992</v>
      </c>
      <c r="C104" s="37">
        <f>Invoices!C31</f>
        <v>3766328.98</v>
      </c>
      <c r="D104" s="37">
        <f>Invoices!D31</f>
        <v>2167070.5</v>
      </c>
      <c r="E104" s="37">
        <f>Invoices!E31</f>
        <v>1810827.73</v>
      </c>
      <c r="F104" s="37">
        <f>Invoices!F31</f>
        <v>3001422.81</v>
      </c>
      <c r="G104" s="37">
        <f>Invoices!G31</f>
        <v>904221.86</v>
      </c>
      <c r="H104" s="37">
        <f>Invoices!H31</f>
        <v>2703641.83</v>
      </c>
      <c r="I104" s="27">
        <f>SUM(C104:H104)</f>
        <v>14353513.71</v>
      </c>
    </row>
    <row r="105">
      <c r="B105" s="32" t="inlineStr">
        <is>
          <t>Full year</t>
        </is>
      </c>
      <c r="C105" s="36">
        <f>SUM(C93:C104)</f>
        <v>44284111.33</v>
      </c>
      <c r="D105" s="36">
        <f>SUM(D93:D104)</f>
        <v>27020781.93</v>
      </c>
      <c r="E105" s="36">
        <f>SUM(E93:E104)</f>
        <v>21130980.87</v>
      </c>
      <c r="F105" s="36">
        <f>SUM(F93:F104)</f>
        <v>37372783.56</v>
      </c>
      <c r="G105" s="36">
        <f>SUM(G93:G104)</f>
        <v>10599363.42</v>
      </c>
      <c r="H105" s="36">
        <f>SUM(H93:H104)</f>
        <v>34420250.17</v>
      </c>
      <c r="I105" s="36">
        <f>SUM(I93:I104)</f>
        <v>174828271.28</v>
      </c>
    </row>
    <row r="107">
      <c r="B107" s="20" t="inlineStr">
        <is>
          <t>Invoice versus meter</t>
        </is>
      </c>
      <c r="C107" s="21" t="n"/>
      <c r="D107" s="21" t="n"/>
      <c r="E107" s="21" t="n"/>
      <c r="F107" s="21" t="n"/>
      <c r="G107" s="21" t="n"/>
      <c r="H107" s="21" t="n"/>
      <c r="I107" s="21" t="n"/>
    </row>
    <row r="108">
      <c r="B108" s="3" t="inlineStr">
        <is>
          <t>MWh variance (MWh): invoiced minus metered</t>
        </is>
      </c>
    </row>
    <row r="109">
      <c r="B109" s="30">
        <f>'Meter data'!B6</f>
        <v>45658</v>
      </c>
      <c r="C109" s="29">
        <f>C78-C19</f>
        <v>162</v>
      </c>
      <c r="D109" s="29">
        <f>D78-D19</f>
        <v>164</v>
      </c>
      <c r="E109" s="29">
        <f>E78-E19</f>
        <v>0</v>
      </c>
      <c r="F109" s="29">
        <f>F78-F19</f>
        <v>0</v>
      </c>
      <c r="G109" s="29">
        <f>G78-G19</f>
        <v>0</v>
      </c>
      <c r="H109" s="29">
        <f>H78-H19</f>
        <v>0</v>
      </c>
      <c r="I109" s="29">
        <f>I78-I19</f>
        <v>326</v>
      </c>
    </row>
    <row r="110">
      <c r="B110" s="30">
        <f>'Meter data'!B7</f>
        <v>45689</v>
      </c>
      <c r="C110" s="29">
        <f>C79-C20</f>
        <v>0</v>
      </c>
      <c r="D110" s="29">
        <f>D79-D20</f>
        <v>151</v>
      </c>
      <c r="E110" s="29">
        <f>E79-E20</f>
        <v>0</v>
      </c>
      <c r="F110" s="29">
        <f>F79-F20</f>
        <v>-102</v>
      </c>
      <c r="G110" s="29">
        <f>G79-G20</f>
        <v>0</v>
      </c>
      <c r="H110" s="29">
        <f>H79-H20</f>
        <v>0</v>
      </c>
      <c r="I110" s="29">
        <f>I79-I20</f>
        <v>49</v>
      </c>
    </row>
    <row r="111">
      <c r="B111" s="30">
        <f>'Meter data'!B8</f>
        <v>45717</v>
      </c>
      <c r="C111" s="29">
        <f>C80-C21</f>
        <v>0</v>
      </c>
      <c r="D111" s="29">
        <f>D80-D21</f>
        <v>-72</v>
      </c>
      <c r="E111" s="29">
        <f>E80-E21</f>
        <v>104</v>
      </c>
      <c r="F111" s="29">
        <f>F80-F21</f>
        <v>3</v>
      </c>
      <c r="G111" s="29">
        <f>G80-G21</f>
        <v>0</v>
      </c>
      <c r="H111" s="29">
        <f>H80-H21</f>
        <v>-21</v>
      </c>
      <c r="I111" s="29">
        <f>I80-I21</f>
        <v>14</v>
      </c>
    </row>
    <row r="112">
      <c r="B112" s="30">
        <f>'Meter data'!B9</f>
        <v>45748</v>
      </c>
      <c r="C112" s="29">
        <f>C81-C22</f>
        <v>270</v>
      </c>
      <c r="D112" s="29">
        <f>D81-D22</f>
        <v>0</v>
      </c>
      <c r="E112" s="29">
        <f>E81-E22</f>
        <v>62</v>
      </c>
      <c r="F112" s="29">
        <f>F81-F22</f>
        <v>0</v>
      </c>
      <c r="G112" s="29">
        <f>G81-G22</f>
        <v>-1</v>
      </c>
      <c r="H112" s="29">
        <f>H81-H22</f>
        <v>-49</v>
      </c>
      <c r="I112" s="29">
        <f>I81-I22</f>
        <v>282</v>
      </c>
    </row>
    <row r="113">
      <c r="B113" s="30">
        <f>'Meter data'!B10</f>
        <v>45778</v>
      </c>
      <c r="C113" s="29">
        <f>C82-C23</f>
        <v>44</v>
      </c>
      <c r="D113" s="29">
        <f>D82-D23</f>
        <v>29</v>
      </c>
      <c r="E113" s="29">
        <f>E82-E23</f>
        <v>0</v>
      </c>
      <c r="F113" s="29">
        <f>F82-F23</f>
        <v>3733</v>
      </c>
      <c r="G113" s="29">
        <f>G82-G23</f>
        <v>25</v>
      </c>
      <c r="H113" s="29">
        <f>H82-H23</f>
        <v>0</v>
      </c>
      <c r="I113" s="29">
        <f>I82-I23</f>
        <v>3831</v>
      </c>
    </row>
    <row r="114">
      <c r="B114" s="30">
        <f>'Meter data'!B11</f>
        <v>45809</v>
      </c>
      <c r="C114" s="29">
        <f>C83-C24</f>
        <v>88</v>
      </c>
      <c r="D114" s="29">
        <f>D83-D24</f>
        <v>0</v>
      </c>
      <c r="E114" s="29">
        <f>E83-E24</f>
        <v>-96</v>
      </c>
      <c r="F114" s="29">
        <f>F83-F24</f>
        <v>3999</v>
      </c>
      <c r="G114" s="29">
        <f>G83-G24</f>
        <v>29</v>
      </c>
      <c r="H114" s="29">
        <f>H83-H24</f>
        <v>-12</v>
      </c>
      <c r="I114" s="29">
        <f>I83-I24</f>
        <v>4008</v>
      </c>
    </row>
    <row r="115">
      <c r="B115" s="30">
        <f>'Meter data'!B12</f>
        <v>45839</v>
      </c>
      <c r="C115" s="29">
        <f>C84-C25</f>
        <v>0</v>
      </c>
      <c r="D115" s="29">
        <f>D84-D25</f>
        <v>4</v>
      </c>
      <c r="E115" s="29">
        <f>E84-E25</f>
        <v>0</v>
      </c>
      <c r="F115" s="29">
        <f>F84-F25</f>
        <v>3152</v>
      </c>
      <c r="G115" s="29">
        <f>G84-G25</f>
        <v>-6</v>
      </c>
      <c r="H115" s="29">
        <f>H84-H25</f>
        <v>0</v>
      </c>
      <c r="I115" s="29">
        <f>I84-I25</f>
        <v>3150</v>
      </c>
    </row>
    <row r="116">
      <c r="B116" s="30">
        <f>'Meter data'!B13</f>
        <v>45870</v>
      </c>
      <c r="C116" s="29">
        <f>C85-C26</f>
        <v>-231</v>
      </c>
      <c r="D116" s="29">
        <f>D85-D26</f>
        <v>58</v>
      </c>
      <c r="E116" s="29">
        <f>E85-E26</f>
        <v>-96</v>
      </c>
      <c r="F116" s="29">
        <f>F85-F26</f>
        <v>3654</v>
      </c>
      <c r="G116" s="29">
        <f>G85-G26</f>
        <v>0</v>
      </c>
      <c r="H116" s="29">
        <f>H85-H26</f>
        <v>0</v>
      </c>
      <c r="I116" s="29">
        <f>I85-I26</f>
        <v>3385</v>
      </c>
    </row>
    <row r="117">
      <c r="B117" s="30">
        <f>'Meter data'!B14</f>
        <v>45901</v>
      </c>
      <c r="C117" s="29">
        <f>C86-C27</f>
        <v>225</v>
      </c>
      <c r="D117" s="29">
        <f>D86-D27</f>
        <v>0</v>
      </c>
      <c r="E117" s="29">
        <f>E86-E27</f>
        <v>0</v>
      </c>
      <c r="F117" s="29">
        <f>F86-F27</f>
        <v>3934</v>
      </c>
      <c r="G117" s="29">
        <f>G86-G27</f>
        <v>0</v>
      </c>
      <c r="H117" s="29">
        <f>H86-H27</f>
        <v>0</v>
      </c>
      <c r="I117" s="29">
        <f>I86-I27</f>
        <v>4159</v>
      </c>
    </row>
    <row r="118">
      <c r="B118" s="30">
        <f>'Meter data'!B15</f>
        <v>45931</v>
      </c>
      <c r="C118" s="29">
        <f>C87-C28</f>
        <v>242</v>
      </c>
      <c r="D118" s="29">
        <f>D87-D28</f>
        <v>137</v>
      </c>
      <c r="E118" s="29">
        <f>E87-E28</f>
        <v>-70</v>
      </c>
      <c r="F118" s="29">
        <f>F87-F28</f>
        <v>3750</v>
      </c>
      <c r="G118" s="29">
        <f>G87-G28</f>
        <v>0</v>
      </c>
      <c r="H118" s="29">
        <f>H87-H28</f>
        <v>0</v>
      </c>
      <c r="I118" s="29">
        <f>I87-I28</f>
        <v>4059</v>
      </c>
    </row>
    <row r="119">
      <c r="B119" s="30">
        <f>'Meter data'!B16</f>
        <v>45962</v>
      </c>
      <c r="C119" s="29">
        <f>C88-C29</f>
        <v>-170</v>
      </c>
      <c r="D119" s="29">
        <f>D88-D29</f>
        <v>-24</v>
      </c>
      <c r="E119" s="29">
        <f>E88-E29</f>
        <v>59</v>
      </c>
      <c r="F119" s="29">
        <f>F88-F29</f>
        <v>3606</v>
      </c>
      <c r="G119" s="29">
        <f>G88-G29</f>
        <v>-27</v>
      </c>
      <c r="H119" s="29">
        <f>H88-H29</f>
        <v>-61</v>
      </c>
      <c r="I119" s="29">
        <f>I88-I29</f>
        <v>3383</v>
      </c>
    </row>
    <row r="120">
      <c r="B120" s="30">
        <f>'Meter data'!B17</f>
        <v>45992</v>
      </c>
      <c r="C120" s="29">
        <f>C89-C30</f>
        <v>37</v>
      </c>
      <c r="D120" s="29">
        <f>D89-D30</f>
        <v>-106</v>
      </c>
      <c r="E120" s="29">
        <f>E89-E30</f>
        <v>50</v>
      </c>
      <c r="F120" s="29">
        <f>F89-F30</f>
        <v>4134</v>
      </c>
      <c r="G120" s="29">
        <f>G89-G30</f>
        <v>13</v>
      </c>
      <c r="H120" s="29">
        <f>H89-H30</f>
        <v>119</v>
      </c>
      <c r="I120" s="29">
        <f>I89-I30</f>
        <v>4247</v>
      </c>
    </row>
    <row r="121">
      <c r="B121" s="32" t="inlineStr">
        <is>
          <t>Full year</t>
        </is>
      </c>
      <c r="C121" s="33">
        <f>C90-C31</f>
        <v>667</v>
      </c>
      <c r="D121" s="33">
        <f>D90-D31</f>
        <v>341</v>
      </c>
      <c r="E121" s="33">
        <f>E90-E31</f>
        <v>13</v>
      </c>
      <c r="F121" s="33">
        <f>F90-F31</f>
        <v>29863</v>
      </c>
      <c r="G121" s="33">
        <f>G90-G31</f>
        <v>33</v>
      </c>
      <c r="H121" s="33">
        <f>H90-H31</f>
        <v>-24</v>
      </c>
      <c r="I121" s="33">
        <f>I90-I31</f>
        <v>30893</v>
      </c>
    </row>
    <row r="123">
      <c r="B123" s="3" t="inlineStr">
        <is>
          <t>MWh variance (%): MWh variance over metered MWh</t>
        </is>
      </c>
    </row>
    <row r="124">
      <c r="B124" s="30">
        <f>'Meter data'!B6</f>
        <v>45658</v>
      </c>
      <c r="C124" s="38">
        <f>IF(C19=0,0,C109/C19)</f>
        <v>0.0019117299976398395</v>
      </c>
      <c r="D124" s="38">
        <f>IF(D19=0,0,D109/D19)</f>
        <v>0.003159192479580829</v>
      </c>
      <c r="E124" s="38">
        <f>IF(E19=0,0,E109/E19)</f>
        <v>0.0</v>
      </c>
      <c r="F124" s="38">
        <f>IF(F19=0,0,F109/F19)</f>
        <v>0.0</v>
      </c>
      <c r="G124" s="38">
        <f>IF(G19=0,0,G109/G19)</f>
        <v>0.0</v>
      </c>
      <c r="H124" s="38">
        <f>IF(H19=0,0,H109/H19)</f>
        <v>0.0</v>
      </c>
      <c r="I124" s="38">
        <f>IF(I19=0,0,I109/I19)</f>
        <v>0.0010355518284160504</v>
      </c>
    </row>
    <row r="125">
      <c r="B125" s="30">
        <f>'Meter data'!B7</f>
        <v>45689</v>
      </c>
      <c r="C125" s="38">
        <f>IF(C20=0,0,C110/C20)</f>
        <v>0.0</v>
      </c>
      <c r="D125" s="38">
        <f>IF(D20=0,0,D110/D20)</f>
        <v>0.003427144802541988</v>
      </c>
      <c r="E125" s="38">
        <f>IF(E20=0,0,E110/E20)</f>
        <v>0.0</v>
      </c>
      <c r="F125" s="38">
        <f>IF(F20=0,0,F110/F20)</f>
        <v>-0.0019189524777062873</v>
      </c>
      <c r="G125" s="38">
        <f>IF(G20=0,0,G110/G20)</f>
        <v>0.0</v>
      </c>
      <c r="H125" s="38">
        <f>IF(H20=0,0,H110/H20)</f>
        <v>0.0</v>
      </c>
      <c r="I125" s="38">
        <f>IF(I20=0,0,I110/I20)</f>
        <v>0.00018101887768295837</v>
      </c>
    </row>
    <row r="126">
      <c r="B126" s="30">
        <f>'Meter data'!B8</f>
        <v>45717</v>
      </c>
      <c r="C126" s="38">
        <f>IF(C21=0,0,C111/C21)</f>
        <v>0.0</v>
      </c>
      <c r="D126" s="38">
        <f>IF(D21=0,0,D111/D21)</f>
        <v>-0.0013770153192954272</v>
      </c>
      <c r="E126" s="38">
        <f>IF(E21=0,0,E111/E21)</f>
        <v>0.0029689685689000544</v>
      </c>
      <c r="F126" s="38">
        <f>IF(F21=0,0,F111/F21)</f>
        <v>4.718093890068412e-05</v>
      </c>
      <c r="G126" s="38">
        <f>IF(G21=0,0,G111/G21)</f>
        <v>0.0</v>
      </c>
      <c r="H126" s="38">
        <f>IF(H21=0,0,H111/H21)</f>
        <v>-0.0003154905878641287</v>
      </c>
      <c r="I126" s="38">
        <f>IF(I21=0,0,I111/I21)</f>
        <v>4.368420067273669e-05</v>
      </c>
    </row>
    <row r="127">
      <c r="B127" s="30">
        <f>'Meter data'!B9</f>
        <v>45748</v>
      </c>
      <c r="C127" s="38">
        <f>IF(C22=0,0,C112/C22)</f>
        <v>0.003252933664249054</v>
      </c>
      <c r="D127" s="38">
        <f>IF(D22=0,0,D112/D22)</f>
        <v>0.0</v>
      </c>
      <c r="E127" s="38">
        <f>IF(E22=0,0,E112/E22)</f>
        <v>0.0018462271454946103</v>
      </c>
      <c r="F127" s="38">
        <f>IF(F22=0,0,F112/F22)</f>
        <v>0.0</v>
      </c>
      <c r="G127" s="38">
        <f>IF(G22=0,0,G112/G22)</f>
        <v>-6.266842138246537e-05</v>
      </c>
      <c r="H127" s="38">
        <f>IF(H22=0,0,H112/H22)</f>
        <v>-0.0007570373574761302</v>
      </c>
      <c r="I127" s="38">
        <f>IF(I22=0,0,I112/I22)</f>
        <v>0.0009086222451346823</v>
      </c>
    </row>
    <row r="128">
      <c r="B128" s="30">
        <f>'Meter data'!B10</f>
        <v>45778</v>
      </c>
      <c r="C128" s="38">
        <f>IF(C23=0,0,C113/C23)</f>
        <v>0.0005130178273695011</v>
      </c>
      <c r="D128" s="38">
        <f>IF(D23=0,0,D113/D23)</f>
        <v>0.0005556939467683523</v>
      </c>
      <c r="E128" s="38">
        <f>IF(E23=0,0,E113/E23)</f>
        <v>0.0</v>
      </c>
      <c r="F128" s="38">
        <f>IF(F23=0,0,F113/F23)</f>
        <v>0.05836004064722895</v>
      </c>
      <c r="G128" s="38">
        <f>IF(G23=0,0,G113/G23)</f>
        <v>0.0015246691467951455</v>
      </c>
      <c r="H128" s="38">
        <f>IF(H23=0,0,H113/H23)</f>
        <v>0.0</v>
      </c>
      <c r="I128" s="38">
        <f>IF(I23=0,0,I113/I23)</f>
        <v>0.011996580457880447</v>
      </c>
    </row>
    <row r="129">
      <c r="B129" s="30">
        <f>'Meter data'!B11</f>
        <v>45809</v>
      </c>
      <c r="C129" s="38">
        <f>IF(C24=0,0,C114/C24)</f>
        <v>0.0010916759707232354</v>
      </c>
      <c r="D129" s="38">
        <f>IF(D24=0,0,D114/D24)</f>
        <v>0.0</v>
      </c>
      <c r="E129" s="38">
        <f>IF(E24=0,0,E114/E24)</f>
        <v>-0.002943069989883197</v>
      </c>
      <c r="F129" s="38">
        <f>IF(F24=0,0,F114/F24)</f>
        <v>0.0670309592852713</v>
      </c>
      <c r="G129" s="38">
        <f>IF(G24=0,0,G114/G24)</f>
        <v>0.001850079744816587</v>
      </c>
      <c r="H129" s="38">
        <f>IF(H24=0,0,H114/H24)</f>
        <v>-0.00019169329073482429</v>
      </c>
      <c r="I129" s="38">
        <f>IF(I24=0,0,I114/I24)</f>
        <v>0.013337060256359062</v>
      </c>
    </row>
    <row r="130">
      <c r="B130" s="30">
        <f>'Meter data'!B12</f>
        <v>45839</v>
      </c>
      <c r="C130" s="38">
        <f>IF(C25=0,0,C115/C25)</f>
        <v>0.0</v>
      </c>
      <c r="D130" s="38">
        <f>IF(D25=0,0,D115/D25)</f>
        <v>8.52460413869531e-05</v>
      </c>
      <c r="E130" s="38">
        <f>IF(E25=0,0,E115/E25)</f>
        <v>0.0</v>
      </c>
      <c r="F130" s="38">
        <f>IF(F25=0,0,F115/F25)</f>
        <v>0.055528151645409064</v>
      </c>
      <c r="G130" s="38">
        <f>IF(G25=0,0,G115/G25)</f>
        <v>-0.00038380349261178274</v>
      </c>
      <c r="H130" s="38">
        <f>IF(H25=0,0,H115/H25)</f>
        <v>0.0</v>
      </c>
      <c r="I130" s="38">
        <f>IF(I25=0,0,I115/I25)</f>
        <v>0.010755037796275685</v>
      </c>
    </row>
    <row r="131">
      <c r="B131" s="30">
        <f>'Meter data'!B13</f>
        <v>45870</v>
      </c>
      <c r="C131" s="38">
        <f>IF(C26=0,0,C116/C26)</f>
        <v>-0.0028735989650067796</v>
      </c>
      <c r="D131" s="38">
        <f>IF(D26=0,0,D116/D26)</f>
        <v>0.0012639745461677598</v>
      </c>
      <c r="E131" s="38">
        <f>IF(E26=0,0,E116/E26)</f>
        <v>-0.0029821999937870835</v>
      </c>
      <c r="F131" s="38">
        <f>IF(F26=0,0,F116/F26)</f>
        <v>0.06541119186566897</v>
      </c>
      <c r="G131" s="38">
        <f>IF(G26=0,0,G116/G26)</f>
        <v>0.0</v>
      </c>
      <c r="H131" s="38">
        <f>IF(H26=0,0,H116/H26)</f>
        <v>0.0</v>
      </c>
      <c r="I131" s="38">
        <f>IF(I26=0,0,I116/I26)</f>
        <v>0.011755186520256426</v>
      </c>
    </row>
    <row r="132">
      <c r="B132" s="30">
        <f>'Meter data'!B14</f>
        <v>45901</v>
      </c>
      <c r="C132" s="38">
        <f>IF(C27=0,0,C117/C27)</f>
        <v>0.0027695375487746337</v>
      </c>
      <c r="D132" s="38">
        <f>IF(D27=0,0,D117/D27)</f>
        <v>0.0</v>
      </c>
      <c r="E132" s="38">
        <f>IF(E27=0,0,E117/E27)</f>
        <v>0.0</v>
      </c>
      <c r="F132" s="38">
        <f>IF(F27=0,0,F117/F27)</f>
        <v>0.06757824578280139</v>
      </c>
      <c r="G132" s="38">
        <f>IF(G27=0,0,G117/G27)</f>
        <v>0.0</v>
      </c>
      <c r="H132" s="38">
        <f>IF(H27=0,0,H117/H27)</f>
        <v>0.0</v>
      </c>
      <c r="I132" s="38">
        <f>IF(I27=0,0,I117/I27)</f>
        <v>0.013996345267862252</v>
      </c>
    </row>
    <row r="133">
      <c r="B133" s="30">
        <f>'Meter data'!B15</f>
        <v>45931</v>
      </c>
      <c r="C133" s="38">
        <f>IF(C28=0,0,C118/C28)</f>
        <v>0.0027948445512080197</v>
      </c>
      <c r="D133" s="38">
        <f>IF(D28=0,0,D118/D28)</f>
        <v>0.002625627659166699</v>
      </c>
      <c r="E133" s="38">
        <f>IF(E28=0,0,E118/E28)</f>
        <v>-0.002007226013649137</v>
      </c>
      <c r="F133" s="38">
        <f>IF(F28=0,0,F118/F28)</f>
        <v>0.05865331977789943</v>
      </c>
      <c r="G133" s="38">
        <f>IF(G28=0,0,G118/G28)</f>
        <v>0.0</v>
      </c>
      <c r="H133" s="38">
        <f>IF(H28=0,0,H118/H28)</f>
        <v>0.0</v>
      </c>
      <c r="I133" s="38">
        <f>IF(I28=0,0,I118/I28)</f>
        <v>0.012665890715736722</v>
      </c>
    </row>
    <row r="134">
      <c r="B134" s="30">
        <f>'Meter data'!B16</f>
        <v>45962</v>
      </c>
      <c r="C134" s="38">
        <f>IF(C29=0,0,C119/C29)</f>
        <v>-0.002061980714415671</v>
      </c>
      <c r="D134" s="38">
        <f>IF(D29=0,0,D119/D29)</f>
        <v>-0.00047244094488188977</v>
      </c>
      <c r="E134" s="38">
        <f>IF(E29=0,0,E119/E29)</f>
        <v>0.0017690093547613336</v>
      </c>
      <c r="F134" s="38">
        <f>IF(F29=0,0,F119/F29)</f>
        <v>0.05863223960196416</v>
      </c>
      <c r="G134" s="38">
        <f>IF(G29=0,0,G119/G29)</f>
        <v>-0.001692047377326565</v>
      </c>
      <c r="H134" s="38">
        <f>IF(H29=0,0,H119/H29)</f>
        <v>-0.000938822624086187</v>
      </c>
      <c r="I134" s="38">
        <f>IF(I29=0,0,I119/I29)</f>
        <v>0.010947121809786074</v>
      </c>
    </row>
    <row r="135">
      <c r="B135" s="30">
        <f>'Meter data'!B17</f>
        <v>45992</v>
      </c>
      <c r="C135" s="38">
        <f>IF(C30=0,0,C120/C30)</f>
        <v>0.0004391378655526016</v>
      </c>
      <c r="D135" s="38">
        <f>IF(D30=0,0,D120/D30)</f>
        <v>-0.0020589320746654234</v>
      </c>
      <c r="E135" s="38">
        <f>IF(E30=0,0,E120/E30)</f>
        <v>0.0014581085415998367</v>
      </c>
      <c r="F135" s="38">
        <f>IF(F30=0,0,F120/F30)</f>
        <v>0.06589938149588727</v>
      </c>
      <c r="G135" s="38">
        <f>IF(G30=0,0,G120/G30)</f>
        <v>0.0008042563721851027</v>
      </c>
      <c r="H135" s="38">
        <f>IF(H30=0,0,H120/H30)</f>
        <v>0.001799975798644724</v>
      </c>
      <c r="I135" s="38">
        <f>IF(I30=0,0,I120/I30)</f>
        <v>0.013480913413619944</v>
      </c>
    </row>
    <row r="136">
      <c r="B136" s="32" t="inlineStr">
        <is>
          <t>Full year</t>
        </is>
      </c>
      <c r="C136" s="39">
        <f>IF(C31=0,0,C121/C31)</f>
        <v>0.0006738626168904119</v>
      </c>
      <c r="D136" s="39">
        <f>IF(D31=0,0,D121/D31)</f>
        <v>0.0005715090184458307</v>
      </c>
      <c r="E136" s="39">
        <f>IF(E31=0,0,E121/E31)</f>
        <v>3.246704594836241e-05</v>
      </c>
      <c r="F136" s="39">
        <f>IF(F31=0,0,F121/F31)</f>
        <v>0.04130365928042588</v>
      </c>
      <c r="G136" s="39">
        <f>IF(G31=0,0,G121/G31)</f>
        <v>0.000173950629648567</v>
      </c>
      <c r="H136" s="39">
        <f>IF(H31=0,0,H121/H31)</f>
        <v>-3.161563814848284e-05</v>
      </c>
      <c r="I136" s="39">
        <f>IF(I31=0,0,I121/I31)</f>
        <v>0.008443649510785994</v>
      </c>
    </row>
    <row r="138">
      <c r="B138" s="3" t="inlineStr">
        <is>
          <t>Dollar variance ($): invoiced amount minus expected cost</t>
        </is>
      </c>
    </row>
    <row r="139">
      <c r="B139" s="30">
        <f>'Meter data'!B6</f>
        <v>45658</v>
      </c>
      <c r="C139" s="27">
        <f>C93-C62</f>
        <v>7474.729999999981</v>
      </c>
      <c r="D139" s="27">
        <f>D93-D62</f>
        <v>3204.1299999998882</v>
      </c>
      <c r="E139" s="27">
        <f>E93-E62</f>
        <v>939.809999999823</v>
      </c>
      <c r="F139" s="27">
        <f>F93-F62</f>
        <v>-930.1699999999255</v>
      </c>
      <c r="G139" s="27">
        <f>G93-G62</f>
        <v>-802.859999999986</v>
      </c>
      <c r="H139" s="27">
        <f>H93-H62</f>
        <v>-1610.5800000000745</v>
      </c>
      <c r="I139" s="27">
        <f>I93-I62</f>
        <v>8275.060000000522</v>
      </c>
    </row>
    <row r="140">
      <c r="B140" s="30">
        <f>'Meter data'!B7</f>
        <v>45689</v>
      </c>
      <c r="C140" s="27">
        <f>C94-C63</f>
        <v>7800.209999999963</v>
      </c>
      <c r="D140" s="27">
        <f>D94-D63</f>
        <v>5317.180000000168</v>
      </c>
      <c r="E140" s="27">
        <f>E94-E63</f>
        <v>-2004.5</v>
      </c>
      <c r="F140" s="27">
        <f>F94-F63</f>
        <v>-9155.029999999795</v>
      </c>
      <c r="G140" s="27">
        <f>G94-G63</f>
        <v>-1259.3000000000466</v>
      </c>
      <c r="H140" s="27">
        <f>H94-H63</f>
        <v>2175.5099999997765</v>
      </c>
      <c r="I140" s="27">
        <f>I94-I63</f>
        <v>2874.070000000298</v>
      </c>
    </row>
    <row r="141">
      <c r="B141" s="30">
        <f>'Meter data'!B8</f>
        <v>45717</v>
      </c>
      <c r="C141" s="27">
        <f>C95-C64</f>
        <v>3055.899999999907</v>
      </c>
      <c r="D141" s="27">
        <f>D95-D64</f>
        <v>-4853.620000000112</v>
      </c>
      <c r="E141" s="27">
        <f>E95-E64</f>
        <v>7130.959999999963</v>
      </c>
      <c r="F141" s="27">
        <f>F95-F64</f>
        <v>-4996.1699999999255</v>
      </c>
      <c r="G141" s="27">
        <f>G95-G64</f>
        <v>-1626.1299999998882</v>
      </c>
      <c r="H141" s="27">
        <f>H95-H64</f>
        <v>-4833.589999999851</v>
      </c>
      <c r="I141" s="27">
        <f>I95-I64</f>
        <v>-6122.6500000003725</v>
      </c>
    </row>
    <row r="142">
      <c r="B142" s="30">
        <f>'Meter data'!B9</f>
        <v>45748</v>
      </c>
      <c r="C142" s="27">
        <f>C96-C65</f>
        <v>16030.899999999907</v>
      </c>
      <c r="D142" s="27">
        <f>D96-D65</f>
        <v>-2471.510000000242</v>
      </c>
      <c r="E142" s="27">
        <f>E96-E65</f>
        <v>4546.130000000121</v>
      </c>
      <c r="F142" s="27">
        <f>F96-F65</f>
        <v>-1682.2900000000373</v>
      </c>
      <c r="G142" s="27">
        <f>G96-G65</f>
        <v>1037.0800000000745</v>
      </c>
      <c r="H142" s="27">
        <f>H96-H65</f>
        <v>698.7900000000373</v>
      </c>
      <c r="I142" s="27">
        <f>I96-I65</f>
        <v>18159.099999999627</v>
      </c>
    </row>
    <row r="143">
      <c r="B143" s="30">
        <f>'Meter data'!B10</f>
        <v>45778</v>
      </c>
      <c r="C143" s="27">
        <f>C97-C66</f>
        <v>10390.850000000093</v>
      </c>
      <c r="D143" s="27">
        <f>D97-D66</f>
        <v>-1465.5200000002515</v>
      </c>
      <c r="E143" s="27">
        <f>E97-E66</f>
        <v>4149.3300000000745</v>
      </c>
      <c r="F143" s="27">
        <f>F97-F66</f>
        <v>151419.0599999996</v>
      </c>
      <c r="G143" s="27">
        <f>G97-G66</f>
        <v>-103.78000000002794</v>
      </c>
      <c r="H143" s="27">
        <f>H97-H66</f>
        <v>642.0600000000559</v>
      </c>
      <c r="I143" s="27">
        <f>I97-I66</f>
        <v>165032.0</v>
      </c>
    </row>
    <row r="144">
      <c r="B144" s="30">
        <f>'Meter data'!B11</f>
        <v>45809</v>
      </c>
      <c r="C144" s="27">
        <f>C98-C67</f>
        <v>664.2400000002235</v>
      </c>
      <c r="D144" s="27">
        <f>D98-D67</f>
        <v>-4802.339999999851</v>
      </c>
      <c r="E144" s="27">
        <f>E98-E67</f>
        <v>-5108.8300000000745</v>
      </c>
      <c r="F144" s="27">
        <f>F98-F67</f>
        <v>202398.77000000048</v>
      </c>
      <c r="G144" s="27">
        <f>G98-G67</f>
        <v>1075.4000000000233</v>
      </c>
      <c r="H144" s="27">
        <f>H98-H67</f>
        <v>-7134.120000000112</v>
      </c>
      <c r="I144" s="27">
        <f>I98-I67</f>
        <v>187093.12000000104</v>
      </c>
    </row>
    <row r="145">
      <c r="B145" s="30">
        <f>'Meter data'!B12</f>
        <v>45839</v>
      </c>
      <c r="C145" s="27">
        <f>C99-C68</f>
        <v>8321.149999999907</v>
      </c>
      <c r="D145" s="27">
        <f>D99-D68</f>
        <v>1433.1200000001118</v>
      </c>
      <c r="E145" s="27">
        <f>E99-E68</f>
        <v>-2404.3900000001304</v>
      </c>
      <c r="F145" s="27">
        <f>F99-F68</f>
        <v>217667.50000000047</v>
      </c>
      <c r="G145" s="27">
        <f>G99-G68</f>
        <v>-959.2799999999115</v>
      </c>
      <c r="H145" s="27">
        <f>H99-H68</f>
        <v>-3608.4300000001676</v>
      </c>
      <c r="I145" s="27">
        <f>I99-I68</f>
        <v>220449.66999999806</v>
      </c>
    </row>
    <row r="146">
      <c r="B146" s="30">
        <f>'Meter data'!B13</f>
        <v>45870</v>
      </c>
      <c r="C146" s="27">
        <f>C100-C69</f>
        <v>-15913.439999999944</v>
      </c>
      <c r="D146" s="27">
        <f>D100-D69</f>
        <v>-3527.060000000056</v>
      </c>
      <c r="E146" s="27">
        <f>E100-E69</f>
        <v>-9103.820000000065</v>
      </c>
      <c r="F146" s="27">
        <f>F100-F69</f>
        <v>264792.48</v>
      </c>
      <c r="G146" s="27">
        <f>G100-G69</f>
        <v>1220.780000000028</v>
      </c>
      <c r="H146" s="27">
        <f>H100-H69</f>
        <v>-7864.619999999646</v>
      </c>
      <c r="I146" s="27">
        <f>I100-I69</f>
        <v>229604.3200000003</v>
      </c>
    </row>
    <row r="147">
      <c r="B147" s="30">
        <f>'Meter data'!B14</f>
        <v>45901</v>
      </c>
      <c r="C147" s="27">
        <f>C101-C70</f>
        <v>15894.39000000013</v>
      </c>
      <c r="D147" s="27">
        <f>D101-D70</f>
        <v>2968.1800000001676</v>
      </c>
      <c r="E147" s="27">
        <f>E101-E70</f>
        <v>4012.7600000000093</v>
      </c>
      <c r="F147" s="27">
        <f>F101-F70</f>
        <v>192630.3700000001</v>
      </c>
      <c r="G147" s="27">
        <f>G101-G70</f>
        <v>1710.3100000000559</v>
      </c>
      <c r="H147" s="27">
        <f>H101-H70</f>
        <v>-1969.2900000000373</v>
      </c>
      <c r="I147" s="27">
        <f>I101-I70</f>
        <v>215246.72000000067</v>
      </c>
    </row>
    <row r="148">
      <c r="B148" s="30">
        <f>'Meter data'!B15</f>
        <v>45931</v>
      </c>
      <c r="C148" s="27">
        <f>C102-C71</f>
        <v>5103.0099999997765</v>
      </c>
      <c r="D148" s="27">
        <f>D102-D71</f>
        <v>1210.219999999972</v>
      </c>
      <c r="E148" s="27">
        <f>E102-E71</f>
        <v>-7142.250000000233</v>
      </c>
      <c r="F148" s="27">
        <f>F102-F71</f>
        <v>151482.02000000002</v>
      </c>
      <c r="G148" s="27">
        <f>G102-G71</f>
        <v>-334.8199999999488</v>
      </c>
      <c r="H148" s="27">
        <f>H102-H71</f>
        <v>-1156.7600000002421</v>
      </c>
      <c r="I148" s="27">
        <f>I102-I71</f>
        <v>149161.41999999993</v>
      </c>
    </row>
    <row r="149">
      <c r="B149" s="30">
        <f>'Meter data'!B16</f>
        <v>45962</v>
      </c>
      <c r="C149" s="27">
        <f>C103-C72</f>
        <v>-13569.589999999851</v>
      </c>
      <c r="D149" s="27">
        <f>D103-D72</f>
        <v>3615.149999999907</v>
      </c>
      <c r="E149" s="27">
        <f>E103-E72</f>
        <v>2267.689999999944</v>
      </c>
      <c r="F149" s="27">
        <f>F103-F72</f>
        <v>138557.16000000015</v>
      </c>
      <c r="G149" s="27">
        <f>G103-G72</f>
        <v>245.6600000000326</v>
      </c>
      <c r="H149" s="27">
        <f>H103-H72</f>
        <v>-6276.680000000168</v>
      </c>
      <c r="I149" s="27">
        <f>I103-I72</f>
        <v>124839.3900000006</v>
      </c>
    </row>
    <row r="150">
      <c r="B150" s="30">
        <f>'Meter data'!B17</f>
        <v>45992</v>
      </c>
      <c r="C150" s="27">
        <f>C104-C73</f>
        <v>1500.9799999999814</v>
      </c>
      <c r="D150" s="27">
        <f>D104-D73</f>
        <v>429.39999999990687</v>
      </c>
      <c r="E150" s="27">
        <f>E104-E73</f>
        <v>1443.8799999998882</v>
      </c>
      <c r="F150" s="27">
        <f>F104-F73</f>
        <v>185385.40999999968</v>
      </c>
      <c r="G150" s="27">
        <f>G104-G73</f>
        <v>1452.6600000000326</v>
      </c>
      <c r="H150" s="27">
        <f>H104-H73</f>
        <v>1517.0300000002608</v>
      </c>
      <c r="I150" s="27">
        <f>I104-I73</f>
        <v>191729.36000000127</v>
      </c>
    </row>
    <row r="151">
      <c r="B151" s="32" t="inlineStr">
        <is>
          <t>Full year</t>
        </is>
      </c>
      <c r="C151" s="36">
        <f>C105-C74</f>
        <v>46753.32999999821</v>
      </c>
      <c r="D151" s="36">
        <f>D105-D74</f>
        <v>1057.3299999982119</v>
      </c>
      <c r="E151" s="36">
        <f>E105-E74</f>
        <v>-1273.230000000447</v>
      </c>
      <c r="F151" s="36">
        <f>F105-F74</f>
        <v>1487569.1099999994</v>
      </c>
      <c r="G151" s="36">
        <f>G105-G74</f>
        <v>1655.7200000006706</v>
      </c>
      <c r="H151" s="36">
        <f>H105-H74</f>
        <v>-29420.679999999702</v>
      </c>
      <c r="I151" s="36">
        <f>I105-I74</f>
        <v>1506341.580000013</v>
      </c>
    </row>
    <row r="153">
      <c r="B153" s="3" t="inlineStr">
        <is>
          <t>Dollar variance (%): dollar variance over expected cost</t>
        </is>
      </c>
    </row>
    <row r="154">
      <c r="B154" s="30">
        <f>'Meter data'!B6</f>
        <v>45658</v>
      </c>
      <c r="C154" s="38">
        <f>IF(C62=0,0,C139/C62)</f>
        <v>0.001974180223413958</v>
      </c>
      <c r="D154" s="38">
        <f>IF(D62=0,0,D139/D62)</f>
        <v>0.0015190792212237138</v>
      </c>
      <c r="E154" s="38">
        <f>IF(E62=0,0,E139/E62)</f>
        <v>0.0005215516089608933</v>
      </c>
      <c r="F154" s="38">
        <f>IF(F62=0,0,F139/F62)</f>
        <v>-0.0003473745014522831</v>
      </c>
      <c r="G154" s="38">
        <f>IF(G62=0,0,G139/G62)</f>
        <v>-0.000884023428613821</v>
      </c>
      <c r="H154" s="38">
        <f>IF(H62=0,0,H139/H62)</f>
        <v>-0.00061815356014012</v>
      </c>
      <c r="I154" s="38">
        <f>IF(I62=0,0,I139/I62)</f>
        <v>0.0005958070135243843</v>
      </c>
    </row>
    <row r="155">
      <c r="B155" s="30">
        <f>'Meter data'!B7</f>
        <v>45689</v>
      </c>
      <c r="C155" s="38">
        <f>IF(C63=0,0,C140/C63)</f>
        <v>0.0023628259334065927</v>
      </c>
      <c r="D155" s="38">
        <f>IF(D63=0,0,D140/D63)</f>
        <v>0.0020147190382420544</v>
      </c>
      <c r="E155" s="38">
        <f>IF(E63=0,0,E140/E63)</f>
        <v>-0.001260454715719829</v>
      </c>
      <c r="F155" s="38">
        <f>IF(F63=0,0,F140/F63)</f>
        <v>-0.002495477217907681</v>
      </c>
      <c r="G155" s="38">
        <f>IF(G63=0,0,G140/G63)</f>
        <v>-0.0016007484480952219</v>
      </c>
      <c r="H155" s="38">
        <f>IF(H63=0,0,H140/H63)</f>
        <v>0.0006139924438776024</v>
      </c>
      <c r="I155" s="38">
        <f>IF(I63=0,0,I140/I63)</f>
        <v>0.0001850746190422262</v>
      </c>
    </row>
    <row r="156">
      <c r="B156" s="30">
        <f>'Meter data'!B8</f>
        <v>45717</v>
      </c>
      <c r="C156" s="38">
        <f>IF(C64=0,0,C141/C64)</f>
        <v>0.0007901601671646567</v>
      </c>
      <c r="D156" s="38">
        <f>IF(D64=0,0,D141/D64)</f>
        <v>-0.0025377218968170123</v>
      </c>
      <c r="E156" s="38">
        <f>IF(E64=0,0,E141/E64)</f>
        <v>0.0038587066907324274</v>
      </c>
      <c r="F156" s="38">
        <f>IF(F64=0,0,F141/F64)</f>
        <v>-0.0020233437979899783</v>
      </c>
      <c r="G156" s="38">
        <f>IF(G64=0,0,G141/G64)</f>
        <v>-0.0017710016544362477</v>
      </c>
      <c r="H156" s="38">
        <f>IF(H64=0,0,H141/H64)</f>
        <v>-0.002053134828108794</v>
      </c>
      <c r="I156" s="38">
        <f>IF(I64=0,0,I141/I64)</f>
        <v>-0.0004579475719758609</v>
      </c>
    </row>
    <row r="157">
      <c r="B157" s="30">
        <f>'Meter data'!B9</f>
        <v>45748</v>
      </c>
      <c r="C157" s="38">
        <f>IF(C65=0,0,C142/C65)</f>
        <v>0.004321767883950172</v>
      </c>
      <c r="D157" s="38">
        <f>IF(D65=0,0,D142/D65)</f>
        <v>-0.001399212588729685</v>
      </c>
      <c r="E157" s="38">
        <f>IF(E65=0,0,E142/E65)</f>
        <v>0.002565148594650865</v>
      </c>
      <c r="F157" s="38">
        <f>IF(F65=0,0,F142/F65)</f>
        <v>-0.0007375765640855107</v>
      </c>
      <c r="G157" s="38">
        <f>IF(G65=0,0,G142/G65)</f>
        <v>0.0011635299966197118</v>
      </c>
      <c r="H157" s="38">
        <f>IF(H65=0,0,H142/H65)</f>
        <v>0.00032634407768559017</v>
      </c>
      <c r="I157" s="38">
        <f>IF(I65=0,0,I142/I65)</f>
        <v>0.0014456284550495697</v>
      </c>
    </row>
    <row r="158">
      <c r="B158" s="30">
        <f>'Meter data'!B10</f>
        <v>45778</v>
      </c>
      <c r="C158" s="38">
        <f>IF(C66=0,0,C143/C66)</f>
        <v>0.0027118192437161942</v>
      </c>
      <c r="D158" s="38">
        <f>IF(D66=0,0,D143/D66)</f>
        <v>-0.000720434022269711</v>
      </c>
      <c r="E158" s="38">
        <f>IF(E66=0,0,E143/E66)</f>
        <v>0.002269004063540226</v>
      </c>
      <c r="F158" s="38">
        <f>IF(F66=0,0,F143/F66)</f>
        <v>0.05592096120242246</v>
      </c>
      <c r="G158" s="38">
        <f>IF(G66=0,0,G143/G66)</f>
        <v>-0.00011333974259496894</v>
      </c>
      <c r="H158" s="38">
        <f>IF(H66=0,0,H143/H66)</f>
        <v>0.0002554699073033517</v>
      </c>
      <c r="I158" s="38">
        <f>IF(I66=0,0,I143/I66)</f>
        <v>0.011931823170932979</v>
      </c>
    </row>
    <row r="159">
      <c r="B159" s="30">
        <f>'Meter data'!B11</f>
        <v>45809</v>
      </c>
      <c r="C159" s="38">
        <f>IF(C67=0,0,C144/C67)</f>
        <v>0.00018433228319476828</v>
      </c>
      <c r="D159" s="38">
        <f>IF(D67=0,0,D144/D67)</f>
        <v>-0.0021129950356271418</v>
      </c>
      <c r="E159" s="38">
        <f>IF(E67=0,0,E144/E67)</f>
        <v>-0.0029670506741089173</v>
      </c>
      <c r="F159" s="38">
        <f>IF(F67=0,0,F144/F67)</f>
        <v>0.06749734594420874</v>
      </c>
      <c r="G159" s="38">
        <f>IF(G67=0,0,G144/G67)</f>
        <v>0.0012280075708482642</v>
      </c>
      <c r="H159" s="38">
        <f>IF(H67=0,0,H144/H67)</f>
        <v>-0.0024910941564677313</v>
      </c>
      <c r="I159" s="38">
        <f>IF(I67=0,0,I144/I67)</f>
        <v>0.013050300616812326</v>
      </c>
    </row>
    <row r="160">
      <c r="B160" s="30">
        <f>'Meter data'!B12</f>
        <v>45839</v>
      </c>
      <c r="C160" s="38">
        <f>IF(C68=0,0,C145/C68)</f>
        <v>0.002314419692878318</v>
      </c>
      <c r="D160" s="38">
        <f>IF(D68=0,0,D145/D68)</f>
        <v>0.0004992801891810764</v>
      </c>
      <c r="E160" s="38">
        <f>IF(E68=0,0,E145/E68)</f>
        <v>-0.0013786236360455908</v>
      </c>
      <c r="F160" s="38">
        <f>IF(F68=0,0,F145/F68)</f>
        <v>0.05514542603884096</v>
      </c>
      <c r="G160" s="38">
        <f>IF(G68=0,0,G145/G68)</f>
        <v>-0.0010983222100081093</v>
      </c>
      <c r="H160" s="38">
        <f>IF(H68=0,0,H145/H68)</f>
        <v>-0.0009349768689464949</v>
      </c>
      <c r="I160" s="38">
        <f>IF(I68=0,0,I145/I68)</f>
        <v>0.013052305013280217</v>
      </c>
    </row>
    <row r="161">
      <c r="B161" s="30">
        <f>'Meter data'!B13</f>
        <v>45870</v>
      </c>
      <c r="C161" s="38">
        <f>IF(C69=0,0,C146/C69)</f>
        <v>-0.004428241986033724</v>
      </c>
      <c r="D161" s="38">
        <f>IF(D69=0,0,D146/D69)</f>
        <v>-0.0011883466183362456</v>
      </c>
      <c r="E161" s="38">
        <f>IF(E69=0,0,E146/E69)</f>
        <v>-0.0053569249818846065</v>
      </c>
      <c r="F161" s="38">
        <f>IF(F69=0,0,F146/F69)</f>
        <v>0.06397432140838732</v>
      </c>
      <c r="G161" s="38">
        <f>IF(G69=0,0,G146/G69)</f>
        <v>0.0014342303333171925</v>
      </c>
      <c r="H161" s="38">
        <f>IF(H69=0,0,H146/H69)</f>
        <v>-0.0019692861650022655</v>
      </c>
      <c r="I161" s="38">
        <f>IF(I69=0,0,I146/I69)</f>
        <v>0.013314277072263089</v>
      </c>
    </row>
    <row r="162">
      <c r="B162" s="30">
        <f>'Meter data'!B14</f>
        <v>45901</v>
      </c>
      <c r="C162" s="38">
        <f>IF(C70=0,0,C147/C70)</f>
        <v>0.004376914586376404</v>
      </c>
      <c r="D162" s="38">
        <f>IF(D70=0,0,D147/D70)</f>
        <v>0.0012733242730309147</v>
      </c>
      <c r="E162" s="38">
        <f>IF(E70=0,0,E147/E70)</f>
        <v>0.002338235881102369</v>
      </c>
      <c r="F162" s="38">
        <f>IF(F70=0,0,F147/F70)</f>
        <v>0.06459856527274593</v>
      </c>
      <c r="G162" s="38">
        <f>IF(G70=0,0,G147/G70)</f>
        <v>0.001974839789850535</v>
      </c>
      <c r="H162" s="38">
        <f>IF(H70=0,0,H147/H70)</f>
        <v>-0.0006708401838206265</v>
      </c>
      <c r="I162" s="38">
        <f>IF(I70=0,0,I147/I70)</f>
        <v>0.014883422631715045</v>
      </c>
    </row>
    <row r="163">
      <c r="B163" s="30">
        <f>'Meter data'!B15</f>
        <v>45931</v>
      </c>
      <c r="C163" s="38">
        <f>IF(C71=0,0,C148/C71)</f>
        <v>0.001319282557815713</v>
      </c>
      <c r="D163" s="38">
        <f>IF(D71=0,0,D148/D71)</f>
        <v>0.0005867537890980175</v>
      </c>
      <c r="E163" s="38">
        <f>IF(E71=0,0,E148/E71)</f>
        <v>-0.0038818603515108764</v>
      </c>
      <c r="F163" s="38">
        <f>IF(F71=0,0,F148/F71)</f>
        <v>0.055446273778614275</v>
      </c>
      <c r="G163" s="38">
        <f>IF(G71=0,0,G148/G71)</f>
        <v>-0.00036504479654160207</v>
      </c>
      <c r="H163" s="38">
        <f>IF(H71=0,0,H148/H71)</f>
        <v>-0.00044716827412310574</v>
      </c>
      <c r="I163" s="38">
        <f>IF(I71=0,0,I148/I71)</f>
        <v>0.010649366156881421</v>
      </c>
    </row>
    <row r="164">
      <c r="B164" s="30">
        <f>'Meter data'!B16</f>
        <v>45962</v>
      </c>
      <c r="C164" s="38">
        <f>IF(C72=0,0,C149/C72)</f>
        <v>-0.0036826939027794665</v>
      </c>
      <c r="D164" s="38">
        <f>IF(D72=0,0,D149/D72)</f>
        <v>0.001916123390046063</v>
      </c>
      <c r="E164" s="38">
        <f>IF(E72=0,0,E149/E72)</f>
        <v>0.0012882939202393557</v>
      </c>
      <c r="F164" s="38">
        <f>IF(F72=0,0,F149/F72)</f>
        <v>0.056183491843961327</v>
      </c>
      <c r="G164" s="38">
        <f>IF(G72=0,0,G149/G72)</f>
        <v>0.00027561304718017493</v>
      </c>
      <c r="H164" s="38">
        <f>IF(H72=0,0,H149/H72)</f>
        <v>-0.0026700101986233105</v>
      </c>
      <c r="I164" s="38">
        <f>IF(I72=0,0,I149/I72)</f>
        <v>0.00957364454496859</v>
      </c>
    </row>
    <row r="165">
      <c r="B165" s="30">
        <f>'Meter data'!B17</f>
        <v>45992</v>
      </c>
      <c r="C165" s="38">
        <f>IF(C73=0,0,C150/C73)</f>
        <v>0.0003986848801591949</v>
      </c>
      <c r="D165" s="38">
        <f>IF(D73=0,0,D150/D73)</f>
        <v>0.00019818695399062948</v>
      </c>
      <c r="E165" s="38">
        <f>IF(E73=0,0,E150/E73)</f>
        <v>0.0007979954060051372</v>
      </c>
      <c r="F165" s="38">
        <f>IF(F73=0,0,F150/F73)</f>
        <v>0.06583201274244428</v>
      </c>
      <c r="G165" s="38">
        <f>IF(G73=0,0,G150/G73)</f>
        <v>0.0016091155967660755</v>
      </c>
      <c r="H165" s="38">
        <f>IF(H73=0,0,H150/H73)</f>
        <v>0.0005614211453150724</v>
      </c>
      <c r="I165" s="38">
        <f>IF(I73=0,0,I150/I73)</f>
        <v>0.013538503006508587</v>
      </c>
    </row>
    <row r="166">
      <c r="B166" s="32" t="inlineStr">
        <is>
          <t>Full year</t>
        </is>
      </c>
      <c r="C166" s="39">
        <f>IF(C74=0,0,C151/C74)</f>
        <v>0.001056874373012923</v>
      </c>
      <c r="D166" s="39">
        <f>IF(D74=0,0,D151/D74)</f>
        <v>3.913178300855856e-05</v>
      </c>
      <c r="E166" s="39">
        <f>IF(E74=0,0,E151/E74)</f>
        <v>-6.0250553205322616e-05</v>
      </c>
      <c r="F166" s="39">
        <f>IF(F74=0,0,F151/F74)</f>
        <v>0.0414535382552242</v>
      </c>
      <c r="G166" s="39">
        <f>IF(G74=0,0,G151/G74)</f>
        <v>0.000156233786293301</v>
      </c>
      <c r="H166" s="39">
        <f>IF(H74=0,0,H151/H74)</f>
        <v>-0.0008540191901427035</v>
      </c>
      <c r="I166" s="39">
        <f>IF(I74=0,0,I151/I74)</f>
        <v>0.008691003975130639</v>
      </c>
    </row>
    <row r="168">
      <c r="B168" s="3" t="inlineStr">
        <is>
          <t>Flag: "Check" when either variance % is over the tolerance on Read me. Full year and Fleet count the flags.</t>
        </is>
      </c>
    </row>
    <row r="169">
      <c r="B169" s="30">
        <f>'Meter data'!B6</f>
        <v>45658</v>
      </c>
      <c r="C169" s="40" t="str">
        <f>IF(OR(ABS(C124)&gt;Tolerance,ABS(C154)&gt;Tolerance),"Check","")</f>
        <v/>
      </c>
      <c r="D169" s="40" t="str">
        <f>IF(OR(ABS(D124)&gt;Tolerance,ABS(D154)&gt;Tolerance),"Check","")</f>
        <v/>
      </c>
      <c r="E169" s="40" t="str">
        <f>IF(OR(ABS(E124)&gt;Tolerance,ABS(E154)&gt;Tolerance),"Check","")</f>
        <v/>
      </c>
      <c r="F169" s="40" t="str">
        <f>IF(OR(ABS(F124)&gt;Tolerance,ABS(F154)&gt;Tolerance),"Check","")</f>
        <v/>
      </c>
      <c r="G169" s="40" t="str">
        <f>IF(OR(ABS(G124)&gt;Tolerance,ABS(G154)&gt;Tolerance),"Check","")</f>
        <v/>
      </c>
      <c r="H169" s="40" t="str">
        <f>IF(OR(ABS(H124)&gt;Tolerance,ABS(H154)&gt;Tolerance),"Check","")</f>
        <v/>
      </c>
      <c r="I169" s="29">
        <f>COUNTIF(C169:H169,"Check")</f>
        <v>0</v>
      </c>
    </row>
    <row r="170">
      <c r="B170" s="30">
        <f>'Meter data'!B7</f>
        <v>45689</v>
      </c>
      <c r="C170" s="40" t="str">
        <f>IF(OR(ABS(C125)&gt;Tolerance,ABS(C155)&gt;Tolerance),"Check","")</f>
        <v/>
      </c>
      <c r="D170" s="40" t="str">
        <f>IF(OR(ABS(D125)&gt;Tolerance,ABS(D155)&gt;Tolerance),"Check","")</f>
        <v/>
      </c>
      <c r="E170" s="40" t="str">
        <f>IF(OR(ABS(E125)&gt;Tolerance,ABS(E155)&gt;Tolerance),"Check","")</f>
        <v/>
      </c>
      <c r="F170" s="40" t="str">
        <f>IF(OR(ABS(F125)&gt;Tolerance,ABS(F155)&gt;Tolerance),"Check","")</f>
        <v/>
      </c>
      <c r="G170" s="40" t="str">
        <f>IF(OR(ABS(G125)&gt;Tolerance,ABS(G155)&gt;Tolerance),"Check","")</f>
        <v/>
      </c>
      <c r="H170" s="40" t="str">
        <f>IF(OR(ABS(H125)&gt;Tolerance,ABS(H155)&gt;Tolerance),"Check","")</f>
        <v/>
      </c>
      <c r="I170" s="29">
        <f>COUNTIF(C170:H170,"Check")</f>
        <v>0</v>
      </c>
    </row>
    <row r="171">
      <c r="B171" s="30">
        <f>'Meter data'!B8</f>
        <v>45717</v>
      </c>
      <c r="C171" s="40" t="str">
        <f>IF(OR(ABS(C126)&gt;Tolerance,ABS(C156)&gt;Tolerance),"Check","")</f>
        <v/>
      </c>
      <c r="D171" s="40" t="str">
        <f>IF(OR(ABS(D126)&gt;Tolerance,ABS(D156)&gt;Tolerance),"Check","")</f>
        <v/>
      </c>
      <c r="E171" s="40" t="str">
        <f>IF(OR(ABS(E126)&gt;Tolerance,ABS(E156)&gt;Tolerance),"Check","")</f>
        <v/>
      </c>
      <c r="F171" s="40" t="str">
        <f>IF(OR(ABS(F126)&gt;Tolerance,ABS(F156)&gt;Tolerance),"Check","")</f>
        <v/>
      </c>
      <c r="G171" s="40" t="str">
        <f>IF(OR(ABS(G126)&gt;Tolerance,ABS(G156)&gt;Tolerance),"Check","")</f>
        <v/>
      </c>
      <c r="H171" s="40" t="str">
        <f>IF(OR(ABS(H126)&gt;Tolerance,ABS(H156)&gt;Tolerance),"Check","")</f>
        <v/>
      </c>
      <c r="I171" s="29">
        <f>COUNTIF(C171:H171,"Check")</f>
        <v>0</v>
      </c>
    </row>
    <row r="172">
      <c r="B172" s="30">
        <f>'Meter data'!B9</f>
        <v>45748</v>
      </c>
      <c r="C172" s="40" t="str">
        <f>IF(OR(ABS(C127)&gt;Tolerance,ABS(C157)&gt;Tolerance),"Check","")</f>
        <v/>
      </c>
      <c r="D172" s="40" t="str">
        <f>IF(OR(ABS(D127)&gt;Tolerance,ABS(D157)&gt;Tolerance),"Check","")</f>
        <v/>
      </c>
      <c r="E172" s="40" t="str">
        <f>IF(OR(ABS(E127)&gt;Tolerance,ABS(E157)&gt;Tolerance),"Check","")</f>
        <v/>
      </c>
      <c r="F172" s="40" t="str">
        <f>IF(OR(ABS(F127)&gt;Tolerance,ABS(F157)&gt;Tolerance),"Check","")</f>
        <v/>
      </c>
      <c r="G172" s="40" t="str">
        <f>IF(OR(ABS(G127)&gt;Tolerance,ABS(G157)&gt;Tolerance),"Check","")</f>
        <v/>
      </c>
      <c r="H172" s="40" t="str">
        <f>IF(OR(ABS(H127)&gt;Tolerance,ABS(H157)&gt;Tolerance),"Check","")</f>
        <v/>
      </c>
      <c r="I172" s="29">
        <f>COUNTIF(C172:H172,"Check")</f>
        <v>0</v>
      </c>
    </row>
    <row r="173">
      <c r="B173" s="30">
        <f>'Meter data'!B10</f>
        <v>45778</v>
      </c>
      <c r="C173" s="40" t="str">
        <f>IF(OR(ABS(C128)&gt;Tolerance,ABS(C158)&gt;Tolerance),"Check","")</f>
        <v/>
      </c>
      <c r="D173" s="40" t="str">
        <f>IF(OR(ABS(D128)&gt;Tolerance,ABS(D158)&gt;Tolerance),"Check","")</f>
        <v/>
      </c>
      <c r="E173" s="40" t="str">
        <f>IF(OR(ABS(E128)&gt;Tolerance,ABS(E158)&gt;Tolerance),"Check","")</f>
        <v/>
      </c>
      <c r="F173" s="40" t="str">
        <f>IF(OR(ABS(F128)&gt;Tolerance,ABS(F158)&gt;Tolerance),"Check","")</f>
        <v>Check</v>
      </c>
      <c r="G173" s="40" t="str">
        <f>IF(OR(ABS(G128)&gt;Tolerance,ABS(G158)&gt;Tolerance),"Check","")</f>
        <v/>
      </c>
      <c r="H173" s="40" t="str">
        <f>IF(OR(ABS(H128)&gt;Tolerance,ABS(H158)&gt;Tolerance),"Check","")</f>
        <v/>
      </c>
      <c r="I173" s="29">
        <f>COUNTIF(C173:H173,"Check")</f>
        <v>1</v>
      </c>
    </row>
    <row r="174">
      <c r="B174" s="30">
        <f>'Meter data'!B11</f>
        <v>45809</v>
      </c>
      <c r="C174" s="40" t="str">
        <f>IF(OR(ABS(C129)&gt;Tolerance,ABS(C159)&gt;Tolerance),"Check","")</f>
        <v/>
      </c>
      <c r="D174" s="40" t="str">
        <f>IF(OR(ABS(D129)&gt;Tolerance,ABS(D159)&gt;Tolerance),"Check","")</f>
        <v/>
      </c>
      <c r="E174" s="40" t="str">
        <f>IF(OR(ABS(E129)&gt;Tolerance,ABS(E159)&gt;Tolerance),"Check","")</f>
        <v/>
      </c>
      <c r="F174" s="40" t="str">
        <f>IF(OR(ABS(F129)&gt;Tolerance,ABS(F159)&gt;Tolerance),"Check","")</f>
        <v>Check</v>
      </c>
      <c r="G174" s="40" t="str">
        <f>IF(OR(ABS(G129)&gt;Tolerance,ABS(G159)&gt;Tolerance),"Check","")</f>
        <v/>
      </c>
      <c r="H174" s="40" t="str">
        <f>IF(OR(ABS(H129)&gt;Tolerance,ABS(H159)&gt;Tolerance),"Check","")</f>
        <v/>
      </c>
      <c r="I174" s="29">
        <f>COUNTIF(C174:H174,"Check")</f>
        <v>1</v>
      </c>
    </row>
    <row r="175">
      <c r="B175" s="30">
        <f>'Meter data'!B12</f>
        <v>45839</v>
      </c>
      <c r="C175" s="40" t="str">
        <f>IF(OR(ABS(C130)&gt;Tolerance,ABS(C160)&gt;Tolerance),"Check","")</f>
        <v/>
      </c>
      <c r="D175" s="40" t="str">
        <f>IF(OR(ABS(D130)&gt;Tolerance,ABS(D160)&gt;Tolerance),"Check","")</f>
        <v/>
      </c>
      <c r="E175" s="40" t="str">
        <f>IF(OR(ABS(E130)&gt;Tolerance,ABS(E160)&gt;Tolerance),"Check","")</f>
        <v/>
      </c>
      <c r="F175" s="40" t="str">
        <f>IF(OR(ABS(F130)&gt;Tolerance,ABS(F160)&gt;Tolerance),"Check","")</f>
        <v>Check</v>
      </c>
      <c r="G175" s="40" t="str">
        <f>IF(OR(ABS(G130)&gt;Tolerance,ABS(G160)&gt;Tolerance),"Check","")</f>
        <v/>
      </c>
      <c r="H175" s="40" t="str">
        <f>IF(OR(ABS(H130)&gt;Tolerance,ABS(H160)&gt;Tolerance),"Check","")</f>
        <v/>
      </c>
      <c r="I175" s="29">
        <f>COUNTIF(C175:H175,"Check")</f>
        <v>1</v>
      </c>
    </row>
    <row r="176">
      <c r="B176" s="30">
        <f>'Meter data'!B13</f>
        <v>45870</v>
      </c>
      <c r="C176" s="40" t="str">
        <f>IF(OR(ABS(C131)&gt;Tolerance,ABS(C161)&gt;Tolerance),"Check","")</f>
        <v/>
      </c>
      <c r="D176" s="40" t="str">
        <f>IF(OR(ABS(D131)&gt;Tolerance,ABS(D161)&gt;Tolerance),"Check","")</f>
        <v/>
      </c>
      <c r="E176" s="40" t="str">
        <f>IF(OR(ABS(E131)&gt;Tolerance,ABS(E161)&gt;Tolerance),"Check","")</f>
        <v/>
      </c>
      <c r="F176" s="40" t="str">
        <f>IF(OR(ABS(F131)&gt;Tolerance,ABS(F161)&gt;Tolerance),"Check","")</f>
        <v>Check</v>
      </c>
      <c r="G176" s="40" t="str">
        <f>IF(OR(ABS(G131)&gt;Tolerance,ABS(G161)&gt;Tolerance),"Check","")</f>
        <v/>
      </c>
      <c r="H176" s="40" t="str">
        <f>IF(OR(ABS(H131)&gt;Tolerance,ABS(H161)&gt;Tolerance),"Check","")</f>
        <v/>
      </c>
      <c r="I176" s="29">
        <f>COUNTIF(C176:H176,"Check")</f>
        <v>1</v>
      </c>
    </row>
    <row r="177">
      <c r="B177" s="30">
        <f>'Meter data'!B14</f>
        <v>45901</v>
      </c>
      <c r="C177" s="40" t="str">
        <f>IF(OR(ABS(C132)&gt;Tolerance,ABS(C162)&gt;Tolerance),"Check","")</f>
        <v/>
      </c>
      <c r="D177" s="40" t="str">
        <f>IF(OR(ABS(D132)&gt;Tolerance,ABS(D162)&gt;Tolerance),"Check","")</f>
        <v/>
      </c>
      <c r="E177" s="40" t="str">
        <f>IF(OR(ABS(E132)&gt;Tolerance,ABS(E162)&gt;Tolerance),"Check","")</f>
        <v/>
      </c>
      <c r="F177" s="40" t="str">
        <f>IF(OR(ABS(F132)&gt;Tolerance,ABS(F162)&gt;Tolerance),"Check","")</f>
        <v>Check</v>
      </c>
      <c r="G177" s="40" t="str">
        <f>IF(OR(ABS(G132)&gt;Tolerance,ABS(G162)&gt;Tolerance),"Check","")</f>
        <v/>
      </c>
      <c r="H177" s="40" t="str">
        <f>IF(OR(ABS(H132)&gt;Tolerance,ABS(H162)&gt;Tolerance),"Check","")</f>
        <v/>
      </c>
      <c r="I177" s="29">
        <f>COUNTIF(C177:H177,"Check")</f>
        <v>1</v>
      </c>
    </row>
    <row r="178">
      <c r="B178" s="30">
        <f>'Meter data'!B15</f>
        <v>45931</v>
      </c>
      <c r="C178" s="40" t="str">
        <f>IF(OR(ABS(C133)&gt;Tolerance,ABS(C163)&gt;Tolerance),"Check","")</f>
        <v/>
      </c>
      <c r="D178" s="40" t="str">
        <f>IF(OR(ABS(D133)&gt;Tolerance,ABS(D163)&gt;Tolerance),"Check","")</f>
        <v/>
      </c>
      <c r="E178" s="40" t="str">
        <f>IF(OR(ABS(E133)&gt;Tolerance,ABS(E163)&gt;Tolerance),"Check","")</f>
        <v/>
      </c>
      <c r="F178" s="40" t="str">
        <f>IF(OR(ABS(F133)&gt;Tolerance,ABS(F163)&gt;Tolerance),"Check","")</f>
        <v>Check</v>
      </c>
      <c r="G178" s="40" t="str">
        <f>IF(OR(ABS(G133)&gt;Tolerance,ABS(G163)&gt;Tolerance),"Check","")</f>
        <v/>
      </c>
      <c r="H178" s="40" t="str">
        <f>IF(OR(ABS(H133)&gt;Tolerance,ABS(H163)&gt;Tolerance),"Check","")</f>
        <v/>
      </c>
      <c r="I178" s="29">
        <f>COUNTIF(C178:H178,"Check")</f>
        <v>1</v>
      </c>
    </row>
    <row r="179">
      <c r="B179" s="30">
        <f>'Meter data'!B16</f>
        <v>45962</v>
      </c>
      <c r="C179" s="40" t="str">
        <f>IF(OR(ABS(C134)&gt;Tolerance,ABS(C164)&gt;Tolerance),"Check","")</f>
        <v/>
      </c>
      <c r="D179" s="40" t="str">
        <f>IF(OR(ABS(D134)&gt;Tolerance,ABS(D164)&gt;Tolerance),"Check","")</f>
        <v/>
      </c>
      <c r="E179" s="40" t="str">
        <f>IF(OR(ABS(E134)&gt;Tolerance,ABS(E164)&gt;Tolerance),"Check","")</f>
        <v/>
      </c>
      <c r="F179" s="40" t="str">
        <f>IF(OR(ABS(F134)&gt;Tolerance,ABS(F164)&gt;Tolerance),"Check","")</f>
        <v>Check</v>
      </c>
      <c r="G179" s="40" t="str">
        <f>IF(OR(ABS(G134)&gt;Tolerance,ABS(G164)&gt;Tolerance),"Check","")</f>
        <v/>
      </c>
      <c r="H179" s="40" t="str">
        <f>IF(OR(ABS(H134)&gt;Tolerance,ABS(H164)&gt;Tolerance),"Check","")</f>
        <v/>
      </c>
      <c r="I179" s="29">
        <f>COUNTIF(C179:H179,"Check")</f>
        <v>1</v>
      </c>
    </row>
    <row r="180">
      <c r="B180" s="30">
        <f>'Meter data'!B17</f>
        <v>45992</v>
      </c>
      <c r="C180" s="40" t="str">
        <f>IF(OR(ABS(C135)&gt;Tolerance,ABS(C165)&gt;Tolerance),"Check","")</f>
        <v/>
      </c>
      <c r="D180" s="40" t="str">
        <f>IF(OR(ABS(D135)&gt;Tolerance,ABS(D165)&gt;Tolerance),"Check","")</f>
        <v/>
      </c>
      <c r="E180" s="40" t="str">
        <f>IF(OR(ABS(E135)&gt;Tolerance,ABS(E165)&gt;Tolerance),"Check","")</f>
        <v/>
      </c>
      <c r="F180" s="40" t="str">
        <f>IF(OR(ABS(F135)&gt;Tolerance,ABS(F165)&gt;Tolerance),"Check","")</f>
        <v>Check</v>
      </c>
      <c r="G180" s="40" t="str">
        <f>IF(OR(ABS(G135)&gt;Tolerance,ABS(G165)&gt;Tolerance),"Check","")</f>
        <v/>
      </c>
      <c r="H180" s="40" t="str">
        <f>IF(OR(ABS(H135)&gt;Tolerance,ABS(H165)&gt;Tolerance),"Check","")</f>
        <v/>
      </c>
      <c r="I180" s="29">
        <f>COUNTIF(C180:H180,"Check")</f>
        <v>1</v>
      </c>
    </row>
    <row r="181">
      <c r="B181" s="32" t="inlineStr">
        <is>
          <t>Full year</t>
        </is>
      </c>
      <c r="C181" s="33">
        <f>COUNTIF(C169:C180,"Check")</f>
        <v>0</v>
      </c>
      <c r="D181" s="33">
        <f>COUNTIF(D169:D180,"Check")</f>
        <v>0</v>
      </c>
      <c r="E181" s="33">
        <f>COUNTIF(E169:E180,"Check")</f>
        <v>0</v>
      </c>
      <c r="F181" s="33">
        <f>COUNTIF(F169:F180,"Check")</f>
        <v>8</v>
      </c>
      <c r="G181" s="33">
        <f>COUNTIF(G169:G180,"Check")</f>
        <v>0</v>
      </c>
      <c r="H181" s="33">
        <f>COUNTIF(H169:H180,"Check")</f>
        <v>0</v>
      </c>
      <c r="I181" s="33">
        <f>SUM(I169:I180)</f>
        <v>8</v>
      </c>
    </row>
  </sheetData>
  <conditionalFormatting sqref="C169:H180">
    <cfRule type="cellIs" priority="1" operator="equal" dxfId="1">
      <formula>"Check"</formula>
    </cfRule>
  </conditionalFormatting>
  <conditionalFormatting sqref="C124:I136">
    <cfRule type="expression" priority="2" dxfId="1">
      <formula>ABS(C124)&gt;Tolerance</formula>
    </cfRule>
  </conditionalFormatting>
  <conditionalFormatting sqref="C154:I166">
    <cfRule type="expression" priority="3" dxfId="1">
      <formula>ABS(C154)&gt;Tolerance</formula>
    </cfRule>
  </conditionalFormatting>
  <pageMargins left="0.75" right="0.75" top="1" bottom="1" header="0.5" footer="0.5"/>
  <pageSetup orientation="landscape" fitToHeight="0" fitToWidth="1"/>
  <headerFooter>
    <oddHeader/>
    <oddFooter>&amp;L&amp;"Arial,Regular"&amp;10 Power cost model (sample). Made-up numbers.&amp;R&amp;"Arial,Regular"&amp;10 &amp;A, page &amp;P of &amp;N</oddFooter>
    <evenHeader/>
    <evenFooter/>
    <firstHeader/>
    <firstFooter/>
  </headerFooter>
  <ignoredErrors>
    <ignoredError sqref="I19:I30 I62:I73 I78:I89 I93:I104 I169:I180" formulaRange="1"/>
  </ignoredErrors>
</worksheet>
</file>

<file path=xl/worksheets/sheet7.xml><?xml version="1.0" encoding="utf-8"?>
<worksheet xmlns="http://schemas.openxmlformats.org/spreadsheetml/2006/main">
  <sheetPr>
    <outlinePr summaryBelow="1" summaryRight="1"/>
    <pageSetUpPr fitToPage="1"/>
  </sheetPr>
  <dimension ref="B1:N34"/>
  <sheetViews>
    <sheetView showGridLines="0" tabSelected="0" zoomScale="100" workbookViewId="0">
      <pane ySplit="3" topLeftCell="A4" activePane="bottomLeft" state="frozen"/>
      <selection pane="bottomLeft" activeCell="B5" sqref="B5"/>
    </sheetView>
  </sheetViews>
  <sheetFormatPr baseColWidth="8" defaultRowHeight="15"/>
  <cols>
    <col width="2" customWidth="1" min="1" max="1"/>
    <col width="12" customWidth="1" min="2" max="2"/>
    <col width="13" customWidth="1" min="3" max="3"/>
    <col width="13" customWidth="1" min="4" max="4"/>
    <col width="13" customWidth="1" min="5" max="5"/>
    <col width="13" customWidth="1" min="6" max="6"/>
    <col width="13" customWidth="1" min="7" max="7"/>
    <col width="13" customWidth="1" min="8" max="8"/>
    <col width="14" customWidth="1" min="9" max="9"/>
    <col width="14" customWidth="1" min="10" max="10"/>
    <col width="13" customWidth="1" min="11" max="11"/>
    <col width="13" customWidth="1" min="12" max="12"/>
    <col width="13" customWidth="1" min="13" max="13"/>
    <col width="13" customWidth="1" min="14" max="14"/>
  </cols>
  <sheetData>
    <row r="1">
      <c r="B1" s="1" t="inlineStr">
        <is>
          <t>Summary</t>
        </is>
      </c>
    </row>
    <row r="2">
      <c r="B2" s="7" t="inlineStr">
        <is>
          <t>Full year 2025, six sites. Made-up numbers.</t>
        </is>
      </c>
    </row>
    <row r="3">
      <c r="B3" s="3" t="inlineStr">
        <is>
          <t>Model checks</t>
        </is>
      </c>
      <c r="C3" s="5" t="str">
        <f>IF(Checks!$G$28,"All checks pass","A check failed. See the Checks tab.")</f>
        <v>All checks pass</v>
      </c>
    </row>
    <row r="5">
      <c r="B5" s="3" t="inlineStr">
        <is>
          <t>By site, full year 2025</t>
        </is>
      </c>
    </row>
    <row r="6" ht="40" customHeight="1">
      <c r="B6" s="10" t="inlineStr">
        <is>
          <t>Site</t>
        </is>
      </c>
      <c r="C6" s="11" t="inlineStr">
        <is>
          <t>Contracted capacity (MW)</t>
        </is>
      </c>
      <c r="D6" s="11" t="inlineStr">
        <is>
          <t>Metered (MWh)</t>
        </is>
      </c>
      <c r="E6" s="11" t="inlineStr">
        <is>
          <t>Average load (MW)</t>
        </is>
      </c>
      <c r="F6" s="11" t="inlineStr">
        <is>
          <t>Load factor (%)</t>
        </is>
      </c>
      <c r="G6" s="11" t="inlineStr">
        <is>
          <t>Budgeted (MWh)</t>
        </is>
      </c>
      <c r="H6" s="11" t="inlineStr">
        <is>
          <t>Metered vs budget (%)</t>
        </is>
      </c>
      <c r="I6" s="11" t="inlineStr">
        <is>
          <t>Expected cost ($)</t>
        </is>
      </c>
      <c r="J6" s="11" t="inlineStr">
        <is>
          <t>Invoiced cost ($)</t>
        </is>
      </c>
      <c r="K6" s="11" t="inlineStr">
        <is>
          <t>Variance ($)</t>
        </is>
      </c>
      <c r="L6" s="11" t="inlineStr">
        <is>
          <t>Variance (%)</t>
        </is>
      </c>
      <c r="M6" s="11" t="inlineStr">
        <is>
          <t>All-in cost ($/MWh)</t>
        </is>
      </c>
      <c r="N6" s="11" t="inlineStr">
        <is>
          <t>Flagged months (count)</t>
        </is>
      </c>
    </row>
    <row r="7">
      <c r="B7" s="41" t="str">
        <f>Calc!C4</f>
        <v>Site A</v>
      </c>
      <c r="C7" s="42">
        <f>Calc!C9</f>
        <v>120.0</v>
      </c>
      <c r="D7" s="31">
        <f>Calc!C31</f>
        <v>989816</v>
      </c>
      <c r="E7" s="24">
        <f>D7/HoursInYear</f>
        <v>112.99269406392695</v>
      </c>
      <c r="F7" s="38">
        <f>IF(C7=0,0,E7/C7)</f>
        <v>0.9416057838660579</v>
      </c>
      <c r="G7" s="31">
        <f>Calc!C15</f>
        <v>998640.0</v>
      </c>
      <c r="H7" s="38">
        <f>IF(G7=0,0,D7/G7-1)</f>
        <v>-0.008836016983096995</v>
      </c>
      <c r="I7" s="37">
        <f>Calc!C74</f>
        <v>44237358.0</v>
      </c>
      <c r="J7" s="37">
        <f>Calc!C105</f>
        <v>44284111.33</v>
      </c>
      <c r="K7" s="27">
        <f>J7-I7</f>
        <v>46753.32999999821</v>
      </c>
      <c r="L7" s="38">
        <f>IF(I7=0,0,K7/I7)</f>
        <v>0.001056874373012923</v>
      </c>
      <c r="M7" s="35">
        <f>IF(D7=0,0,J7/D7)</f>
        <v>44.739740850824795</v>
      </c>
      <c r="N7" s="31">
        <f>Calc!C181</f>
        <v>0</v>
      </c>
    </row>
    <row r="8">
      <c r="B8" s="41" t="str">
        <f>Calc!D4</f>
        <v>Site B</v>
      </c>
      <c r="C8" s="42">
        <f>Calc!D9</f>
        <v>75.0</v>
      </c>
      <c r="D8" s="31">
        <f>Calc!D31</f>
        <v>596666</v>
      </c>
      <c r="E8" s="24">
        <f>D8/HoursInYear</f>
        <v>68.11255707762557</v>
      </c>
      <c r="F8" s="38">
        <f>IF(C8=0,0,E8/C8)</f>
        <v>0.9081674277016742</v>
      </c>
      <c r="G8" s="31">
        <f>Calc!D15</f>
        <v>611010.0</v>
      </c>
      <c r="H8" s="38">
        <f>IF(G8=0,0,D8/G8-1)</f>
        <v>-0.023475884191748064</v>
      </c>
      <c r="I8" s="37">
        <f>Calc!D74</f>
        <v>27019724.6</v>
      </c>
      <c r="J8" s="37">
        <f>Calc!D105</f>
        <v>27020781.93</v>
      </c>
      <c r="K8" s="27">
        <f>J8-I8</f>
        <v>1057.3299999982119</v>
      </c>
      <c r="L8" s="38">
        <f>IF(I8=0,0,K8/I8)</f>
        <v>3.913178300855856e-05</v>
      </c>
      <c r="M8" s="35">
        <f>IF(D8=0,0,J8/D8)</f>
        <v>45.286277297516534</v>
      </c>
      <c r="N8" s="31">
        <f>Calc!D181</f>
        <v>0</v>
      </c>
    </row>
    <row r="9">
      <c r="B9" s="41" t="str">
        <f>Calc!E4</f>
        <v>Site C</v>
      </c>
      <c r="C9" s="42">
        <f>Calc!E9</f>
        <v>48.0</v>
      </c>
      <c r="D9" s="31">
        <f>Calc!E31</f>
        <v>400406</v>
      </c>
      <c r="E9" s="24">
        <f>D9/HoursInYear</f>
        <v>45.708447488584476</v>
      </c>
      <c r="F9" s="38">
        <f>IF(C9=0,0,E9/C9)</f>
        <v>0.9522593226788433</v>
      </c>
      <c r="G9" s="31">
        <f>Calc!E15</f>
        <v>403660.8</v>
      </c>
      <c r="H9" s="38">
        <f>IF(G9=0,0,D9/G9-1)</f>
        <v>-0.008063205542871654</v>
      </c>
      <c r="I9" s="37">
        <f>Calc!E74</f>
        <v>21132254.1</v>
      </c>
      <c r="J9" s="37">
        <f>Calc!E105</f>
        <v>21130980.87</v>
      </c>
      <c r="K9" s="27">
        <f>J9-I9</f>
        <v>-1273.230000000447</v>
      </c>
      <c r="L9" s="38">
        <f>IF(I9=0,0,K9/I9)</f>
        <v>-6.0250553205322616e-05</v>
      </c>
      <c r="M9" s="35">
        <f>IF(D9=0,0,J9/D9)</f>
        <v>52.773886680019785</v>
      </c>
      <c r="N9" s="31">
        <f>Calc!E181</f>
        <v>0</v>
      </c>
    </row>
    <row r="10">
      <c r="B10" s="41" t="str">
        <f>Calc!F4</f>
        <v>Site D</v>
      </c>
      <c r="C10" s="42">
        <f>Calc!F9</f>
        <v>90.0</v>
      </c>
      <c r="D10" s="31">
        <f>Calc!F31</f>
        <v>723011</v>
      </c>
      <c r="E10" s="24">
        <f>D10/HoursInYear</f>
        <v>82.53550228310502</v>
      </c>
      <c r="F10" s="38">
        <f>IF(C10=0,0,E10/C10)</f>
        <v>0.9170611364789446</v>
      </c>
      <c r="G10" s="31">
        <f>Calc!F15</f>
        <v>741096.0</v>
      </c>
      <c r="H10" s="38">
        <f>IF(G10=0,0,D10/G10-1)</f>
        <v>-0.024403046298995035</v>
      </c>
      <c r="I10" s="37">
        <f>Calc!F74</f>
        <v>35885214.45</v>
      </c>
      <c r="J10" s="37">
        <f>Calc!F105</f>
        <v>37372783.56</v>
      </c>
      <c r="K10" s="27">
        <f>J10-I10</f>
        <v>1487569.1099999994</v>
      </c>
      <c r="L10" s="38">
        <f>IF(I10=0,0,K10/I10)</f>
        <v>0.0414535382552242</v>
      </c>
      <c r="M10" s="35">
        <f>IF(D10=0,0,J10/D10)</f>
        <v>51.69047712967023</v>
      </c>
      <c r="N10" s="31">
        <f>Calc!F181</f>
        <v>8</v>
      </c>
    </row>
    <row r="11">
      <c r="B11" s="41" t="str">
        <f>Calc!G4</f>
        <v>Site E</v>
      </c>
      <c r="C11" s="42">
        <f>Calc!G9</f>
        <v>22.5</v>
      </c>
      <c r="D11" s="31">
        <f>Calc!G31</f>
        <v>189709</v>
      </c>
      <c r="E11" s="24">
        <f>D11/HoursInYear</f>
        <v>21.656278538812785</v>
      </c>
      <c r="F11" s="38">
        <f>IF(C11=0,0,E11/C11)</f>
        <v>0.9625012683916794</v>
      </c>
      <c r="G11" s="31">
        <f>Calc!G15</f>
        <v>191187.0</v>
      </c>
      <c r="H11" s="38">
        <f>IF(G11=0,0,D11/G11-1)</f>
        <v>-0.007730651142598632</v>
      </c>
      <c r="I11" s="37">
        <f>Calc!G74</f>
        <v>10597707.7</v>
      </c>
      <c r="J11" s="37">
        <f>Calc!G105</f>
        <v>10599363.42</v>
      </c>
      <c r="K11" s="27">
        <f>J11-I11</f>
        <v>1655.7200000006706</v>
      </c>
      <c r="L11" s="38">
        <f>IF(I11=0,0,K11/I11)</f>
        <v>0.000156233786293301</v>
      </c>
      <c r="M11" s="35">
        <f>IF(D11=0,0,J11/D11)</f>
        <v>55.87169517524208</v>
      </c>
      <c r="N11" s="31">
        <f>Calc!G181</f>
        <v>0</v>
      </c>
    </row>
    <row r="12">
      <c r="B12" s="41" t="str">
        <f>Calc!H4</f>
        <v>Site F</v>
      </c>
      <c r="C12" s="42">
        <f>Calc!H9</f>
        <v>97.0</v>
      </c>
      <c r="D12" s="31">
        <f>Calc!H31</f>
        <v>759118</v>
      </c>
      <c r="E12" s="24">
        <f>D12/HoursInYear</f>
        <v>86.65730593607306</v>
      </c>
      <c r="F12" s="38">
        <f>IF(C12=0,0,E12/C12)</f>
        <v>0.8933742880007531</v>
      </c>
      <c r="G12" s="31">
        <f>Calc!H15</f>
        <v>781742.4</v>
      </c>
      <c r="H12" s="38">
        <f>IF(G12=0,0,D12/G12-1)</f>
        <v>-0.028940991303529118</v>
      </c>
      <c r="I12" s="37">
        <f>Calc!H74</f>
        <v>34449670.85</v>
      </c>
      <c r="J12" s="37">
        <f>Calc!H105</f>
        <v>34420250.17</v>
      </c>
      <c r="K12" s="27">
        <f>J12-I12</f>
        <v>-29420.679999999702</v>
      </c>
      <c r="L12" s="38">
        <f>IF(I12=0,0,K12/I12)</f>
        <v>-0.0008540191901427035</v>
      </c>
      <c r="M12" s="35">
        <f>IF(D12=0,0,J12/D12)</f>
        <v>45.3424239314573</v>
      </c>
      <c r="N12" s="31">
        <f>Calc!H181</f>
        <v>0</v>
      </c>
    </row>
    <row r="13">
      <c r="B13" s="32" t="inlineStr">
        <is>
          <t>Fleet</t>
        </is>
      </c>
      <c r="C13" s="43">
        <f>Calc!I9</f>
        <v>452.5</v>
      </c>
      <c r="D13" s="44">
        <f>Calc!I31</f>
        <v>3658726</v>
      </c>
      <c r="E13" s="45">
        <f>D13/HoursInYear</f>
        <v>417.6627853881279</v>
      </c>
      <c r="F13" s="39">
        <f>IF(C13=0,0,E13/C13)</f>
        <v>0.9230116804157522</v>
      </c>
      <c r="G13" s="44">
        <f>Calc!I15</f>
        <v>3727336.2</v>
      </c>
      <c r="H13" s="39">
        <f>IF(G13=0,0,D13/G13-1)</f>
        <v>-0.018407301171276202</v>
      </c>
      <c r="I13" s="46">
        <f>Calc!I74</f>
        <v>173321929.7</v>
      </c>
      <c r="J13" s="46">
        <f>Calc!I105</f>
        <v>174828271.28</v>
      </c>
      <c r="K13" s="36">
        <f>J13-I13</f>
        <v>1506341.580000013</v>
      </c>
      <c r="L13" s="39">
        <f>IF(I13=0,0,K13/I13)</f>
        <v>0.008691003975130639</v>
      </c>
      <c r="M13" s="47">
        <f>IF(D13=0,0,J13/D13)</f>
        <v>47.7839202170373</v>
      </c>
      <c r="N13" s="44">
        <f>Calc!I181</f>
        <v>8</v>
      </c>
    </row>
    <row r="15">
      <c r="B15" s="7" t="inlineStr">
        <is>
          <t>Average load is metered energy over the hours in the year. Load factor is average load over contracted capacity.</t>
        </is>
      </c>
    </row>
    <row r="16">
      <c r="B16" s="7" t="inlineStr">
        <is>
          <t>Variance is invoiced minus expected. A positive number means the bill was higher than the contract terms and meters support.</t>
        </is>
      </c>
    </row>
    <row r="17">
      <c r="B17" s="7" t="inlineStr">
        <is>
          <t>A flagged month is one where the bill is further from the meters or the expected cost than the tolerance allows. Send the utility the meter data for that month and ask for a corrected bill.</t>
        </is>
      </c>
    </row>
    <row r="18">
      <c r="B18" s="7" t="inlineStr">
        <is>
          <t>The Fleet row comes from the Fleet column on Calc, not from adding up the rows above, so Checks can test one against the other.</t>
        </is>
      </c>
    </row>
    <row r="20">
      <c r="B20" s="3" t="inlineStr">
        <is>
          <t>By month, all sites</t>
        </is>
      </c>
    </row>
    <row r="21" ht="27" customHeight="1">
      <c r="B21" s="10" t="inlineStr">
        <is>
          <t>Month</t>
        </is>
      </c>
      <c r="C21" s="11" t="inlineStr">
        <is>
          <t>Metered (MWh)</t>
        </is>
      </c>
      <c r="D21" s="11" t="inlineStr">
        <is>
          <t>Expected cost ($)</t>
        </is>
      </c>
      <c r="E21" s="11" t="inlineStr">
        <is>
          <t>Invoiced cost ($)</t>
        </is>
      </c>
      <c r="F21" s="11" t="inlineStr">
        <is>
          <t>Variance ($)</t>
        </is>
      </c>
      <c r="G21" s="11" t="inlineStr">
        <is>
          <t>Variance (%)</t>
        </is>
      </c>
    </row>
    <row r="22">
      <c r="B22" s="30">
        <f>Calc!B19</f>
        <v>45658</v>
      </c>
      <c r="C22" s="31">
        <f>Calc!I19</f>
        <v>314808</v>
      </c>
      <c r="D22" s="37">
        <f>Calc!I62</f>
        <v>13888826.1</v>
      </c>
      <c r="E22" s="37">
        <f>Calc!I93</f>
        <v>13897101.16</v>
      </c>
      <c r="F22" s="27">
        <f>E22-D22</f>
        <v>8275.060000000522</v>
      </c>
      <c r="G22" s="38">
        <f>IF(D22=0,0,F22/D22)</f>
        <v>0.0005958070135243843</v>
      </c>
    </row>
    <row r="23">
      <c r="B23" s="30">
        <f>Calc!B20</f>
        <v>45689</v>
      </c>
      <c r="C23" s="31">
        <f>Calc!I20</f>
        <v>270690</v>
      </c>
      <c r="D23" s="37">
        <f>Calc!I63</f>
        <v>15529249.85</v>
      </c>
      <c r="E23" s="37">
        <f>Calc!I94</f>
        <v>15532123.92</v>
      </c>
      <c r="F23" s="27">
        <f>E23-D23</f>
        <v>2874.070000000298</v>
      </c>
      <c r="G23" s="38">
        <f>IF(D23=0,0,F23/D23)</f>
        <v>0.0001850746190422262</v>
      </c>
    </row>
    <row r="24">
      <c r="B24" s="30">
        <f>Calc!B21</f>
        <v>45717</v>
      </c>
      <c r="C24" s="31">
        <f>Calc!I21</f>
        <v>320482</v>
      </c>
      <c r="D24" s="37">
        <f>Calc!I64</f>
        <v>13369761.9</v>
      </c>
      <c r="E24" s="37">
        <f>Calc!I95</f>
        <v>13363639.25</v>
      </c>
      <c r="F24" s="27">
        <f>E24-D24</f>
        <v>-6122.6500000003725</v>
      </c>
      <c r="G24" s="38">
        <f>IF(D24=0,0,F24/D24)</f>
        <v>-0.0004579475719758609</v>
      </c>
    </row>
    <row r="25">
      <c r="B25" s="30">
        <f>Calc!B22</f>
        <v>45748</v>
      </c>
      <c r="C25" s="31">
        <f>Calc!I22</f>
        <v>310360</v>
      </c>
      <c r="D25" s="37">
        <f>Calc!I65</f>
        <v>12561388.05</v>
      </c>
      <c r="E25" s="37">
        <f>Calc!I96</f>
        <v>12579547.15</v>
      </c>
      <c r="F25" s="27">
        <f>E25-D25</f>
        <v>18159.099999999627</v>
      </c>
      <c r="G25" s="38">
        <f>IF(D25=0,0,F25/D25)</f>
        <v>0.0014456284550495697</v>
      </c>
    </row>
    <row r="26">
      <c r="B26" s="30">
        <f>Calc!B23</f>
        <v>45778</v>
      </c>
      <c r="C26" s="31">
        <f>Calc!I23</f>
        <v>319341</v>
      </c>
      <c r="D26" s="37">
        <f>Calc!I66</f>
        <v>13831247.55</v>
      </c>
      <c r="E26" s="37">
        <f>Calc!I97</f>
        <v>13996279.55</v>
      </c>
      <c r="F26" s="27">
        <f>E26-D26</f>
        <v>165032.0</v>
      </c>
      <c r="G26" s="38">
        <f>IF(D26=0,0,F26/D26)</f>
        <v>0.011931823170932979</v>
      </c>
    </row>
    <row r="27">
      <c r="B27" s="30">
        <f>Calc!B24</f>
        <v>45809</v>
      </c>
      <c r="C27" s="31">
        <f>Calc!I24</f>
        <v>300516</v>
      </c>
      <c r="D27" s="37">
        <f>Calc!I67</f>
        <v>14336307.299999999</v>
      </c>
      <c r="E27" s="37">
        <f>Calc!I98</f>
        <v>14523400.42</v>
      </c>
      <c r="F27" s="27">
        <f>E27-D27</f>
        <v>187093.12000000104</v>
      </c>
      <c r="G27" s="38">
        <f>IF(D27=0,0,F27/D27)</f>
        <v>0.013050300616812326</v>
      </c>
    </row>
    <row r="28">
      <c r="B28" s="30">
        <f>Calc!B25</f>
        <v>45839</v>
      </c>
      <c r="C28" s="31">
        <f>Calc!I25</f>
        <v>292886</v>
      </c>
      <c r="D28" s="37">
        <f>Calc!I68</f>
        <v>16889711.8</v>
      </c>
      <c r="E28" s="37">
        <f>Calc!I99</f>
        <v>17110161.47</v>
      </c>
      <c r="F28" s="27">
        <f>E28-D28</f>
        <v>220449.66999999806</v>
      </c>
      <c r="G28" s="38">
        <f>IF(D28=0,0,F28/D28)</f>
        <v>0.013052305013280217</v>
      </c>
    </row>
    <row r="29">
      <c r="B29" s="30">
        <f>Calc!B26</f>
        <v>45870</v>
      </c>
      <c r="C29" s="31">
        <f>Calc!I26</f>
        <v>287958</v>
      </c>
      <c r="D29" s="37">
        <f>Calc!I69</f>
        <v>17244970.849999998</v>
      </c>
      <c r="E29" s="37">
        <f>Calc!I100</f>
        <v>17474575.169999998</v>
      </c>
      <c r="F29" s="27">
        <f>E29-D29</f>
        <v>229604.3200000003</v>
      </c>
      <c r="G29" s="38">
        <f>IF(D29=0,0,F29/D29)</f>
        <v>0.013314277072263089</v>
      </c>
    </row>
    <row r="30">
      <c r="B30" s="30">
        <f>Calc!B27</f>
        <v>45901</v>
      </c>
      <c r="C30" s="31">
        <f>Calc!I27</f>
        <v>297149</v>
      </c>
      <c r="D30" s="37">
        <f>Calc!I70</f>
        <v>14462178.85</v>
      </c>
      <c r="E30" s="37">
        <f>Calc!I101</f>
        <v>14677425.57</v>
      </c>
      <c r="F30" s="27">
        <f>E30-D30</f>
        <v>215246.72000000067</v>
      </c>
      <c r="G30" s="38">
        <f>IF(D30=0,0,F30/D30)</f>
        <v>0.014883422631715045</v>
      </c>
    </row>
    <row r="31">
      <c r="B31" s="30">
        <f>Calc!B28</f>
        <v>45931</v>
      </c>
      <c r="C31" s="31">
        <f>Calc!I28</f>
        <v>320467</v>
      </c>
      <c r="D31" s="37">
        <f>Calc!I71</f>
        <v>14006600.75</v>
      </c>
      <c r="E31" s="37">
        <f>Calc!I102</f>
        <v>14155762.17</v>
      </c>
      <c r="F31" s="27">
        <f>E31-D31</f>
        <v>149161.41999999993</v>
      </c>
      <c r="G31" s="38">
        <f>IF(D31=0,0,F31/D31)</f>
        <v>0.010649366156881421</v>
      </c>
    </row>
    <row r="32">
      <c r="B32" s="30">
        <f>Calc!B29</f>
        <v>45962</v>
      </c>
      <c r="C32" s="31">
        <f>Calc!I29</f>
        <v>309031</v>
      </c>
      <c r="D32" s="37">
        <f>Calc!I72</f>
        <v>13039902.35</v>
      </c>
      <c r="E32" s="37">
        <f>Calc!I103</f>
        <v>13164741.74</v>
      </c>
      <c r="F32" s="27">
        <f>E32-D32</f>
        <v>124839.3900000006</v>
      </c>
      <c r="G32" s="38">
        <f>IF(D32=0,0,F32/D32)</f>
        <v>0.00957364454496859</v>
      </c>
    </row>
    <row r="33">
      <c r="B33" s="30">
        <f>Calc!B30</f>
        <v>45992</v>
      </c>
      <c r="C33" s="31">
        <f>Calc!I30</f>
        <v>315038</v>
      </c>
      <c r="D33" s="37">
        <f>Calc!I73</f>
        <v>14161784.35</v>
      </c>
      <c r="E33" s="37">
        <f>Calc!I104</f>
        <v>14353513.71</v>
      </c>
      <c r="F33" s="27">
        <f>E33-D33</f>
        <v>191729.36000000127</v>
      </c>
      <c r="G33" s="38">
        <f>IF(D33=0,0,F33/D33)</f>
        <v>0.013538503006508587</v>
      </c>
    </row>
    <row r="34">
      <c r="B34" s="32" t="inlineStr">
        <is>
          <t>Full year</t>
        </is>
      </c>
      <c r="C34" s="33">
        <f>SUM(C22:C33)</f>
        <v>3658726</v>
      </c>
      <c r="D34" s="36">
        <f>SUM(D22:D33)</f>
        <v>173321929.7</v>
      </c>
      <c r="E34" s="36">
        <f>SUM(E22:E33)</f>
        <v>174828271.28</v>
      </c>
      <c r="F34" s="36">
        <f>SUM(F22:F33)</f>
        <v>1506341.580000002</v>
      </c>
      <c r="G34" s="39">
        <f>IF(D34=0,0,F34/D34)</f>
        <v>0.008691003975130574</v>
      </c>
    </row>
  </sheetData>
  <conditionalFormatting sqref="C3:E3">
    <cfRule type="expression" priority="1" dxfId="2">
      <formula>$C$3="All checks pass"</formula>
    </cfRule>
    <cfRule type="expression" priority="2" dxfId="1">
      <formula>$C$3&lt;&gt;"All checks pass"</formula>
    </cfRule>
  </conditionalFormatting>
  <conditionalFormatting sqref="L7:L13">
    <cfRule type="expression" priority="3" dxfId="1">
      <formula>ABS(L7)&gt;Tolerance</formula>
    </cfRule>
  </conditionalFormatting>
  <conditionalFormatting sqref="N7:N13">
    <cfRule type="cellIs" priority="4" operator="greaterThan" dxfId="1">
      <formula>0</formula>
    </cfRule>
  </conditionalFormatting>
  <conditionalFormatting sqref="G22:G34">
    <cfRule type="expression" priority="5" dxfId="1">
      <formula>ABS(G22)&gt;Tolerance</formula>
    </cfRule>
  </conditionalFormatting>
  <pageMargins left="0.75" right="0.75" top="1" bottom="1" header="0.5" footer="0.5"/>
  <pageSetup orientation="landscape" fitToHeight="0" fitToWidth="1"/>
  <headerFooter>
    <oddHeader/>
    <oddFooter>&amp;L&amp;"Arial,Regular"&amp;10 Power cost model (sample). Made-up numbers.&amp;R&amp;"Arial,Regular"&amp;10 &amp;A,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B1:G30"/>
  <sheetViews>
    <sheetView showGridLines="0" tabSelected="0" zoomScale="100" workbookViewId="0">
      <pane ySplit="4" topLeftCell="A5" activePane="bottomLeft" state="frozen"/>
      <selection pane="bottomLeft" activeCell="B6" sqref="B6"/>
    </sheetView>
  </sheetViews>
  <sheetFormatPr baseColWidth="8" defaultRowHeight="15"/>
  <cols>
    <col width="2" customWidth="1" min="1" max="1"/>
    <col width="72" customWidth="1" min="2" max="2"/>
    <col width="7" customWidth="1" min="3" max="3"/>
    <col width="15" customWidth="1" min="4" max="4"/>
    <col width="15" customWidth="1" min="5" max="5"/>
    <col width="13" customWidth="1" min="6" max="6"/>
    <col width="9" customWidth="1" min="7" max="7"/>
  </cols>
  <sheetData>
    <row r="1">
      <c r="B1" s="1" t="inlineStr">
        <is>
          <t>Checks</t>
        </is>
      </c>
    </row>
    <row r="2">
      <c r="B2" s="7" t="inlineStr">
        <is>
          <t>Each line compares two numbers that should match. A line passes when the difference rounds to zero.</t>
        </is>
      </c>
    </row>
    <row r="4">
      <c r="B4" s="10" t="inlineStr">
        <is>
          <t>Check</t>
        </is>
      </c>
      <c r="C4" s="48" t="inlineStr">
        <is>
          <t>Unit</t>
        </is>
      </c>
      <c r="D4" s="11" t="inlineStr">
        <is>
          <t>Model value</t>
        </is>
      </c>
      <c r="E4" s="11" t="inlineStr">
        <is>
          <t>Should equal</t>
        </is>
      </c>
      <c r="F4" s="11" t="inlineStr">
        <is>
          <t>Difference</t>
        </is>
      </c>
      <c r="G4" s="48" t="inlineStr">
        <is>
          <t>Pass</t>
        </is>
      </c>
    </row>
    <row r="5">
      <c r="B5" s="20" t="inlineStr">
        <is>
          <t>Inputs are filled in</t>
        </is>
      </c>
      <c r="C5" s="21" t="n"/>
      <c r="D5" s="21" t="n"/>
      <c r="E5" s="21" t="n"/>
      <c r="F5" s="21" t="n"/>
      <c r="G5" s="21" t="n"/>
    </row>
    <row r="6">
      <c r="B6" s="2" t="inlineStr">
        <is>
          <t>Meter data: a reading for every site and month</t>
        </is>
      </c>
      <c r="C6" s="40" t="inlineStr">
        <is>
          <t>count</t>
        </is>
      </c>
      <c r="D6" s="31">
        <f>COUNT('Meter data'!$C$6:$H$17)</f>
        <v>72</v>
      </c>
      <c r="E6" s="31">
        <f>ROWS('Meter data'!$C$6:$H$17)*COLUMNS('Meter data'!$C$6:$H$17)</f>
        <v>72</v>
      </c>
      <c r="F6" s="29">
        <f>ROUND(D6-E6,2)</f>
        <v>0</v>
      </c>
      <c r="G6" s="40" t="b">
        <f>F6=0</f>
        <v>1</v>
      </c>
    </row>
    <row r="7">
      <c r="B7" s="2" t="inlineStr">
        <is>
          <t>Invoices: billed MWh for every site and month</t>
        </is>
      </c>
      <c r="C7" s="40" t="inlineStr">
        <is>
          <t>count</t>
        </is>
      </c>
      <c r="D7" s="31">
        <f>COUNT(Invoices!$C$6:$H$17)</f>
        <v>72</v>
      </c>
      <c r="E7" s="31">
        <f>ROWS(Invoices!$C$6:$H$17)*COLUMNS(Invoices!$C$6:$H$17)</f>
        <v>72</v>
      </c>
      <c r="F7" s="29">
        <f>ROUND(D7-E7,2)</f>
        <v>0</v>
      </c>
      <c r="G7" s="40" t="b">
        <f>F7=0</f>
        <v>1</v>
      </c>
    </row>
    <row r="8">
      <c r="B8" s="2" t="inlineStr">
        <is>
          <t>Invoices: billed amount for every site and month</t>
        </is>
      </c>
      <c r="C8" s="40" t="inlineStr">
        <is>
          <t>count</t>
        </is>
      </c>
      <c r="D8" s="31">
        <f>COUNT(Invoices!$C$20:$H$31)</f>
        <v>72</v>
      </c>
      <c r="E8" s="31">
        <f>ROWS(Invoices!$C$20:$H$31)*COLUMNS(Invoices!$C$20:$H$31)</f>
        <v>72</v>
      </c>
      <c r="F8" s="29">
        <f>ROUND(D8-E8,2)</f>
        <v>0</v>
      </c>
      <c r="G8" s="40" t="b">
        <f>F8=0</f>
        <v>1</v>
      </c>
    </row>
    <row r="9">
      <c r="B9" s="2" t="inlineStr">
        <is>
          <t>Market prices: a price for every market and month</t>
        </is>
      </c>
      <c r="C9" s="40" t="inlineStr">
        <is>
          <t>count</t>
        </is>
      </c>
      <c r="D9" s="31">
        <f>COUNT('Market prices'!$C$6:$F$17)</f>
        <v>48</v>
      </c>
      <c r="E9" s="31">
        <f>ROWS('Market prices'!$C$6:$F$17)*COLUMNS('Market prices'!$C$6:$F$17)</f>
        <v>48</v>
      </c>
      <c r="F9" s="29">
        <f>ROUND(D9-E9,2)</f>
        <v>0</v>
      </c>
      <c r="G9" s="40" t="b">
        <f>F9=0</f>
        <v>1</v>
      </c>
    </row>
    <row r="10">
      <c r="B10" s="2" t="inlineStr">
        <is>
          <t>Sites: capacity, delivery charge, fixed charges and uptime for every site</t>
        </is>
      </c>
      <c r="C10" s="40" t="inlineStr">
        <is>
          <t>count</t>
        </is>
      </c>
      <c r="D10" s="31">
        <f>COUNT(Sites!$D$5:$D$10,Sites!$H$5:$J$10)</f>
        <v>24</v>
      </c>
      <c r="E10" s="31">
        <f>ROWS(Sites!$D$5:$D$10)+ROWS(Sites!$H$5:$J$10)*COLUMNS(Sites!$H$5:$J$10)</f>
        <v>24</v>
      </c>
      <c r="F10" s="29">
        <f>ROUND(D10-E10,2)</f>
        <v>0</v>
      </c>
      <c r="G10" s="40" t="b">
        <f>F10=0</f>
        <v>1</v>
      </c>
    </row>
    <row r="11">
      <c r="B11" s="2" t="inlineStr">
        <is>
          <t>Sites: each contract is Fixed or Index and has its price filled in</t>
        </is>
      </c>
      <c r="C11" s="40" t="inlineStr">
        <is>
          <t>count</t>
        </is>
      </c>
      <c r="D11" s="31">
        <f>SUMPRODUCT((Sites!$E$5:$E$10="Fixed")*ISNUMBER(Sites!$F$5:$F$10))+SUMPRODUCT((Sites!$E$5:$E$10="Index")*ISNUMBER(Sites!$G$5:$G$10))</f>
        <v>6</v>
      </c>
      <c r="E11" s="31">
        <f>ROWS(Sites!$B$5:$B$10)</f>
        <v>6</v>
      </c>
      <c r="F11" s="29">
        <f>ROUND(D11-E11,2)</f>
        <v>0</v>
      </c>
      <c r="G11" s="40" t="b">
        <f>F11=0</f>
        <v>1</v>
      </c>
    </row>
    <row r="12">
      <c r="B12" s="20" t="inlineStr">
        <is>
          <t>Tabs line up</t>
        </is>
      </c>
      <c r="C12" s="21" t="n"/>
      <c r="D12" s="21" t="n"/>
      <c r="E12" s="21" t="n"/>
      <c r="F12" s="21" t="n"/>
      <c r="G12" s="21" t="n"/>
    </row>
    <row r="13">
      <c r="B13" s="2" t="inlineStr">
        <is>
          <t>Every site's market has prices on the Market prices tab</t>
        </is>
      </c>
      <c r="C13" s="40" t="inlineStr">
        <is>
          <t>count</t>
        </is>
      </c>
      <c r="D13" s="31">
        <f>SUMPRODUCT(COUNTIF('Market prices'!$C$4:$F$4,Sites!$C$5:$C$10))</f>
        <v>6</v>
      </c>
      <c r="E13" s="31">
        <f>ROWS(Sites!$C$5:$C$10)</f>
        <v>6</v>
      </c>
      <c r="F13" s="29">
        <f>ROUND(D13-E13,2)</f>
        <v>0</v>
      </c>
      <c r="G13" s="40" t="b">
        <f>F13=0</f>
        <v>1</v>
      </c>
    </row>
    <row r="14">
      <c r="B14" s="2" t="inlineStr">
        <is>
          <t>Months match on Market prices, Meter data and Invoices</t>
        </is>
      </c>
      <c r="C14" s="40" t="inlineStr">
        <is>
          <t>count</t>
        </is>
      </c>
      <c r="D14" s="31">
        <f>SUMPRODUCT(('Market prices'!$B$6:$B$17='Meter data'!$B$6:$B$17)*1)+SUMPRODUCT((Invoices!$B$6:$B$17='Meter data'!$B$6:$B$17)*1)+SUMPRODUCT((Invoices!$B$20:$B$31='Meter data'!$B$6:$B$17)*1)</f>
        <v>36</v>
      </c>
      <c r="E14" s="31">
        <f>ROWS('Market prices'!$B$6:$B$17)+ROWS(Invoices!$B$6:$B$17)+ROWS(Invoices!$B$20:$B$31)</f>
        <v>36</v>
      </c>
      <c r="F14" s="29">
        <f>ROUND(D14-E14,2)</f>
        <v>0</v>
      </c>
      <c r="G14" s="40" t="b">
        <f>F14=0</f>
        <v>1</v>
      </c>
    </row>
    <row r="15">
      <c r="B15" s="2" t="inlineStr">
        <is>
          <t>Site columns on Meter data and Invoices follow the order on Sites</t>
        </is>
      </c>
      <c r="C15" s="40" t="inlineStr">
        <is>
          <t>count</t>
        </is>
      </c>
      <c r="D15" s="31">
        <f>SUMPRODUCT(('Meter data'!$C$4:$H$4=Calc!$C$4:$H$4)*1)+SUMPRODUCT((Invoices!$C$4:$H$4=Calc!$C$4:$H$4)*1)</f>
        <v>12</v>
      </c>
      <c r="E15" s="31">
        <f>COLUMNS('Meter data'!$C$4:$H$4)+COLUMNS(Invoices!$C$4:$H$4)</f>
        <v>12</v>
      </c>
      <c r="F15" s="29">
        <f>ROUND(D15-E15,2)</f>
        <v>0</v>
      </c>
      <c r="G15" s="40" t="b">
        <f>F15=0</f>
        <v>1</v>
      </c>
    </row>
    <row r="16">
      <c r="B16" s="20" t="inlineStr">
        <is>
          <t>Totals tie out</t>
        </is>
      </c>
      <c r="C16" s="21" t="n"/>
      <c r="D16" s="21" t="n"/>
      <c r="E16" s="21" t="n"/>
      <c r="F16" s="21" t="n"/>
      <c r="G16" s="21" t="n"/>
    </row>
    <row r="17">
      <c r="B17" s="2" t="inlineStr">
        <is>
          <t>Summary fleet metered energy equals the Meter data total</t>
        </is>
      </c>
      <c r="C17" s="40" t="inlineStr">
        <is>
          <t>MWh</t>
        </is>
      </c>
      <c r="D17" s="31">
        <f>Summary!$D$13</f>
        <v>3658726</v>
      </c>
      <c r="E17" s="31">
        <f>SUM('Meter data'!$C$6:$H$17)</f>
        <v>3658726</v>
      </c>
      <c r="F17" s="29">
        <f>ROUND(D17-E17,2)</f>
        <v>0</v>
      </c>
      <c r="G17" s="40" t="b">
        <f>F17=0</f>
        <v>1</v>
      </c>
    </row>
    <row r="18">
      <c r="B18" s="2" t="inlineStr">
        <is>
          <t>Summary fleet expected cost equals the Calc total for all sites and months</t>
        </is>
      </c>
      <c r="C18" s="40" t="inlineStr">
        <is>
          <t>$</t>
        </is>
      </c>
      <c r="D18" s="37">
        <f>Summary!$I$13</f>
        <v>173321929.7</v>
      </c>
      <c r="E18" s="37">
        <f>SUM(Calc!$C$62:$H$73)</f>
        <v>173321929.70000002</v>
      </c>
      <c r="F18" s="27">
        <f>ROUND(D18-E18,2)</f>
        <v>-0.0</v>
      </c>
      <c r="G18" s="40" t="b">
        <f>F18=0</f>
        <v>1</v>
      </c>
    </row>
    <row r="19">
      <c r="B19" s="2" t="inlineStr">
        <is>
          <t>Summary fleet invoiced cost equals the Invoices total</t>
        </is>
      </c>
      <c r="C19" s="40" t="inlineStr">
        <is>
          <t>$</t>
        </is>
      </c>
      <c r="D19" s="37">
        <f>Summary!$J$13</f>
        <v>174828271.28</v>
      </c>
      <c r="E19" s="37">
        <f>SUM(Invoices!$C$20:$H$31)</f>
        <v>174828271.28</v>
      </c>
      <c r="F19" s="27">
        <f>ROUND(D19-E19,2)</f>
        <v>0.0</v>
      </c>
      <c r="G19" s="40" t="b">
        <f>F19=0</f>
        <v>1</v>
      </c>
    </row>
    <row r="20">
      <c r="B20" s="2" t="inlineStr">
        <is>
          <t>Summary site rows add up to the fleet row: metered energy</t>
        </is>
      </c>
      <c r="C20" s="40" t="inlineStr">
        <is>
          <t>MWh</t>
        </is>
      </c>
      <c r="D20" s="31">
        <f>SUM(Summary!$D$7:$D$12)</f>
        <v>3658726</v>
      </c>
      <c r="E20" s="31">
        <f>Summary!$D$13</f>
        <v>3658726</v>
      </c>
      <c r="F20" s="29">
        <f>ROUND(D20-E20,2)</f>
        <v>0</v>
      </c>
      <c r="G20" s="40" t="b">
        <f>F20=0</f>
        <v>1</v>
      </c>
    </row>
    <row r="21">
      <c r="B21" s="2" t="inlineStr">
        <is>
          <t>Summary site rows add up to the fleet row: expected cost</t>
        </is>
      </c>
      <c r="C21" s="40" t="inlineStr">
        <is>
          <t>$</t>
        </is>
      </c>
      <c r="D21" s="37">
        <f>SUM(Summary!$I$7:$I$12)</f>
        <v>173321929.70000002</v>
      </c>
      <c r="E21" s="37">
        <f>Summary!$I$13</f>
        <v>173321929.7</v>
      </c>
      <c r="F21" s="27">
        <f>ROUND(D21-E21,2)</f>
        <v>0.0</v>
      </c>
      <c r="G21" s="40" t="b">
        <f>F21=0</f>
        <v>1</v>
      </c>
    </row>
    <row r="22">
      <c r="B22" s="2" t="inlineStr">
        <is>
          <t>Summary site rows add up to the fleet row: invoiced cost</t>
        </is>
      </c>
      <c r="C22" s="40" t="inlineStr">
        <is>
          <t>$</t>
        </is>
      </c>
      <c r="D22" s="37">
        <f>SUM(Summary!$J$7:$J$12)</f>
        <v>174828271.28</v>
      </c>
      <c r="E22" s="37">
        <f>Summary!$J$13</f>
        <v>174828271.28</v>
      </c>
      <c r="F22" s="27">
        <f>ROUND(D22-E22,2)</f>
        <v>0.0</v>
      </c>
      <c r="G22" s="40" t="b">
        <f>F22=0</f>
        <v>1</v>
      </c>
    </row>
    <row r="23">
      <c r="B23" s="2" t="inlineStr">
        <is>
          <t>Summary monthly table adds up to the fleet row: metered energy</t>
        </is>
      </c>
      <c r="C23" s="40" t="inlineStr">
        <is>
          <t>MWh</t>
        </is>
      </c>
      <c r="D23" s="31">
        <f>Summary!$C$34</f>
        <v>3658726</v>
      </c>
      <c r="E23" s="31">
        <f>Summary!$D$13</f>
        <v>3658726</v>
      </c>
      <c r="F23" s="29">
        <f>ROUND(D23-E23,2)</f>
        <v>0</v>
      </c>
      <c r="G23" s="40" t="b">
        <f>F23=0</f>
        <v>1</v>
      </c>
    </row>
    <row r="24">
      <c r="B24" s="2" t="inlineStr">
        <is>
          <t>Summary monthly table adds up to the fleet row: expected cost</t>
        </is>
      </c>
      <c r="C24" s="40" t="inlineStr">
        <is>
          <t>$</t>
        </is>
      </c>
      <c r="D24" s="37">
        <f>Summary!$D$34</f>
        <v>173321929.7</v>
      </c>
      <c r="E24" s="37">
        <f>Summary!$I$13</f>
        <v>173321929.7</v>
      </c>
      <c r="F24" s="27">
        <f>ROUND(D24-E24,2)</f>
        <v>0.0</v>
      </c>
      <c r="G24" s="40" t="b">
        <f>F24=0</f>
        <v>1</v>
      </c>
    </row>
    <row r="25">
      <c r="B25" s="2" t="inlineStr">
        <is>
          <t>Summary monthly table adds up to the fleet row: invoiced cost</t>
        </is>
      </c>
      <c r="C25" s="40" t="inlineStr">
        <is>
          <t>$</t>
        </is>
      </c>
      <c r="D25" s="37">
        <f>Summary!$E$34</f>
        <v>174828271.28</v>
      </c>
      <c r="E25" s="37">
        <f>Summary!$J$13</f>
        <v>174828271.28</v>
      </c>
      <c r="F25" s="27">
        <f>ROUND(D25-E25,2)</f>
        <v>0.0</v>
      </c>
      <c r="G25" s="40" t="b">
        <f>F25=0</f>
        <v>1</v>
      </c>
    </row>
    <row r="26">
      <c r="B26" s="2" t="inlineStr">
        <is>
          <t>Flagged months on Summary equal the Check flags on Calc</t>
        </is>
      </c>
      <c r="C26" s="40" t="inlineStr">
        <is>
          <t>count</t>
        </is>
      </c>
      <c r="D26" s="31">
        <f>Summary!$N$13</f>
        <v>8</v>
      </c>
      <c r="E26" s="31">
        <f>COUNTIF(Calc!$C$169:$H$180,"Check")</f>
        <v>8</v>
      </c>
      <c r="F26" s="29">
        <f>ROUND(D26-E26,2)</f>
        <v>0</v>
      </c>
      <c r="G26" s="40" t="b">
        <f>F26=0</f>
        <v>1</v>
      </c>
    </row>
    <row r="28">
      <c r="B28" s="3" t="inlineStr">
        <is>
          <t>All checks pass</t>
        </is>
      </c>
      <c r="G28" s="49" t="b">
        <f>AND(G6:G11,G13:G15,G17:G26)</f>
        <v>1</v>
      </c>
    </row>
    <row r="30">
      <c r="B30" s="7" t="inlineStr">
        <is>
          <t>If a line shows FALSE, the Difference column shows by how much. Fix the input or formula behind it and the line turns TRUE again.</t>
        </is>
      </c>
    </row>
  </sheetData>
  <conditionalFormatting sqref="G6:G11 G13:G15 G17:G26 G28">
    <cfRule type="cellIs" priority="1" operator="equal" dxfId="2">
      <formula>TRUE</formula>
    </cfRule>
    <cfRule type="cellIs" priority="2" operator="equal" dxfId="1">
      <formula>FALSE</formula>
    </cfRule>
  </conditionalFormatting>
  <pageMargins left="0.75" right="0.75" top="1" bottom="1" header="0.5" footer="0.5"/>
  <pageSetup orientation="landscape" fitToHeight="0" fitToWidth="1"/>
  <headerFooter>
    <oddHeader/>
    <oddFooter>&amp;L&amp;"Arial,Regular"&amp;10 Power cost model (sample). Made-up numbers.&amp;R&amp;"Arial,Regular"&amp;10 &amp;A,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Jack Raney</dc:creator>
  <dc:title>Power cost model (sample)</dc:title>
  <dc:description>Sample model built with made-up numbers. None of this is real company data.</dc:description>
  <dcterms:created xsi:type="dcterms:W3CDTF">2026-10-16T09:00:00Z</dcterms:created>
  <dcterms:modified xsi:type="dcterms:W3CDTF">2026-10-16T14:09:00Z</dcterms:modified>
  <cp:lastModifiedBy>Jack Raney</cp:lastModifiedBy>
</cp:coreProperties>
</file>